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ystosolar.sharepoint.com/sites/SYSTOSOLAR/Documents partages/Commun/04 - Marketing/WEBSHOP Produits webshop/IZIPV/! Pages Gamme/"/>
    </mc:Choice>
  </mc:AlternateContent>
  <xr:revisionPtr revIDLastSave="50" documentId="8_{0A56A80A-372B-4E17-91AA-F0AB9BBC1AB3}" xr6:coauthVersionLast="47" xr6:coauthVersionMax="47" xr10:uidLastSave="{560D58B3-EBB4-41EF-AFE0-59AB12668C34}"/>
  <workbookProtection workbookAlgorithmName="SHA-512" workbookHashValue="8FHCAnGWCeyy9l8XfiR0EPGflWVWe590l4DZUQE5js1bCgwlsYcRG8wZ3plqpxW4qu8car4TTlti7Q78JVumyQ==" workbookSaltValue="zn8cu24sCXb3LnvZz37zHg==" workbookSpinCount="100000" lockStructure="1"/>
  <bookViews>
    <workbookView xWindow="-28920" yWindow="-1320" windowWidth="29040" windowHeight="15840" tabRatio="676" xr2:uid="{A3A36E78-BA78-4E37-A736-22C3AC9DAFE8}"/>
  </bookViews>
  <sheets>
    <sheet name="Configurateur IZI-PV" sheetId="1" r:id="rId1"/>
    <sheet name="Bon de commande" sheetId="5" r:id="rId2"/>
    <sheet name="Données" sheetId="2" state="hidden" r:id="rId3"/>
    <sheet name="Logistique" sheetId="4" state="hidden" r:id="rId4"/>
    <sheet name="Mécanique" sheetId="7" state="hidden" r:id="rId5"/>
    <sheet name="EC1-Vent" sheetId="6" state="hidden" r:id="rId6"/>
    <sheet name="EC1-Neige" sheetId="8" state="hidden" r:id="rId7"/>
    <sheet name="EC1 - CC" sheetId="9" state="hidden" r:id="rId8"/>
    <sheet name="Config type" sheetId="3" state="hidden" r:id="rId9"/>
  </sheets>
  <definedNames>
    <definedName name="Alt_proj">'Configurateur IZI-PV'!$D$10</definedName>
    <definedName name="Articl_resist">Logistique!$I$3:$T$25</definedName>
    <definedName name="Article_desc">Logistique!$I$3:$I$25</definedName>
    <definedName name="article_list">Logistique!$P$3:$P$25</definedName>
    <definedName name="Article_nb">Logistique!$J$3:$J$25</definedName>
    <definedName name="Article_no">Logistique!$G$3:$G$26</definedName>
    <definedName name="brid_pann">Données!$C$6:$D$6</definedName>
    <definedName name="Calcul_champs_PV">Données!$D$31:$G$59</definedName>
    <definedName name="Cat_Terrain">'EC1-Vent'!$C$10:$G$10</definedName>
    <definedName name="Charpente">'Config type'!$C$25:$G$25</definedName>
    <definedName name="choix_brid">Données!$C$18</definedName>
    <definedName name="Choix_calep">'Configurateur IZI-PV'!$D$32</definedName>
    <definedName name="choix_cat">'Configurateur IZI-PV'!$D$8</definedName>
    <definedName name="choix_charp">'Configurateur IZI-PV'!$D$19</definedName>
    <definedName name="choix_coul">'Configurateur IZI-PV'!$D$26</definedName>
    <definedName name="choix_couv">'Configurateur IZI-PV'!$D$14</definedName>
    <definedName name="Choix_croch">'Configurateur IZI-PV'!$D$25</definedName>
    <definedName name="Choix_etr">Logistique!$S$15</definedName>
    <definedName name="Choix_forme">'Configurateur IZI-PV'!$D$13</definedName>
    <definedName name="choix_impl">'Configurateur IZI-PV'!$O$36</definedName>
    <definedName name="choix_neige">'Configurateur IZI-PV'!$D$9</definedName>
    <definedName name="choix_panne">'Configurateur IZI-PV'!$D$22</definedName>
    <definedName name="choix_vent">'Configurateur IZI-PV'!$D$7</definedName>
    <definedName name="Couleur">Données!$C$4:$D$4</definedName>
    <definedName name="Couverture">'Config type'!$C$2:$G$2</definedName>
    <definedName name="cpe_bi">'EC1 - CC'!$L$8:$N$12</definedName>
    <definedName name="Cpe_mono">'EC1 - CC'!$C$8:$E$14</definedName>
    <definedName name="Cr_Z">'EC1-Vent'!$B$10:$G$12</definedName>
    <definedName name="croch_comp">'Config type'!$B$11:$B$16</definedName>
    <definedName name="croch_lign">Données!$C$42</definedName>
    <definedName name="Crochets">'Config type'!$B$3:$B$8</definedName>
    <definedName name="déb_bri">Données!$C$26</definedName>
    <definedName name="deb_croch">Données!$C$25</definedName>
    <definedName name="Dim_centre_haut_BP">'EC1-Vent'!$D$67</definedName>
    <definedName name="Dim_centre_haut_MP">'EC1-Vent'!$D$66</definedName>
    <definedName name="Dim_centre_long">'EC1-Vent'!$D$65</definedName>
    <definedName name="dim_egout_long">'EC1-Vent'!$D$68</definedName>
    <definedName name="dist_fait">Données!$C$22</definedName>
    <definedName name="dist_rive">Données!$C$23</definedName>
    <definedName name="Dom_emploi">'Config type'!$C$18:$G$23</definedName>
    <definedName name="Entr_chev">'Configurateur IZI-PV'!$D$20</definedName>
    <definedName name="entr_croch_max">Données!$C$19</definedName>
    <definedName name="Entr_croch_min">Données!$C$20</definedName>
    <definedName name="Entr_panne_max">Données!$C$21</definedName>
    <definedName name="entr_plot">'EC1-Vent'!$J$51:$J$52</definedName>
    <definedName name="G_droit">'EC1 - CC'!$G$3</definedName>
    <definedName name="haut_bat">'Configurateur IZI-PV'!$D$15</definedName>
    <definedName name="Haut_Champs_PV">Données!$C$32</definedName>
    <definedName name="Implant_PV">Données!$C$64:$H$64</definedName>
    <definedName name="Interail">Données!$C$29</definedName>
    <definedName name="interligne">Données!$C$27</definedName>
    <definedName name="larg_bri_int">Données!$C$28</definedName>
    <definedName name="Larg_Champs_PV">Données!$C$33</definedName>
    <definedName name="list_materiel">Logistique!$A$3:$Q$25</definedName>
    <definedName name="Logist">Logistique!$F$6:$K$30</definedName>
    <definedName name="Long_rail">'Configurateur IZI-PV'!$D$27</definedName>
    <definedName name="long_utile">Données!$C$58</definedName>
    <definedName name="Micro">'Configurateur IZI-PV'!$D$28</definedName>
    <definedName name="Micro_fact">Données!$C$7:$G$9</definedName>
    <definedName name="mod_ep">'Configurateur IZI-PV'!$I$27</definedName>
    <definedName name="mod_haut">'Configurateur IZI-PV'!$I$25</definedName>
    <definedName name="mod_larg">'Configurateur IZI-PV'!$I$26</definedName>
    <definedName name="mod_poids">'Configurateur IZI-PV'!$I$29</definedName>
    <definedName name="Mode_pose">'Config type'!$B$26:$B$28</definedName>
    <definedName name="Module_Area">'EC1-Vent'!$M$8</definedName>
    <definedName name="mult_rail">Données!$C$35</definedName>
    <definedName name="mult_rail_crois">Données!$C$46</definedName>
    <definedName name="Nb_bride_exter">Données!$C$54</definedName>
    <definedName name="Nb_bride_inter">Données!$C$55</definedName>
    <definedName name="nb_colonne">'Configurateur IZI-PV'!$D$34</definedName>
    <definedName name="Nb_conn_crois">Données!$C$53</definedName>
    <definedName name="Nb_croch">Données!$C$43</definedName>
    <definedName name="nb_ligne">'Configurateur IZI-PV'!$D$33</definedName>
    <definedName name="Nb_racc">Données!$C$41</definedName>
    <definedName name="Nb_racc_crois">Données!$C$52</definedName>
    <definedName name="Nb_rail">Données!$C$36</definedName>
    <definedName name="Nb_Rail_crois">Données!$C$47</definedName>
    <definedName name="Neige_Charges">'EC1-Neige'!$B$4:$F$11</definedName>
    <definedName name="Neige_Zones">'EC1-Neige'!$B$4:$B$11</definedName>
    <definedName name="NOK">Données!$D$63</definedName>
    <definedName name="OK">Données!$C$63</definedName>
    <definedName name="PaF_max">Données!$C$24</definedName>
    <definedName name="PaF_utile">Données!$C$59</definedName>
    <definedName name="panne_type">Données!$C$10:$D$10</definedName>
    <definedName name="pente">'Configurateur IZI-PV'!$D$18</definedName>
    <definedName name="Porte_a_faux">Données!$C$44</definedName>
    <definedName name="Qpz">'EC1-Vent'!$N$22</definedName>
    <definedName name="Racc_crois">Données!$C$51</definedName>
    <definedName name="Racc_lign">Données!$C$40</definedName>
    <definedName name="Rail">Données!$C$5:$E$5</definedName>
    <definedName name="RAIL_cont_max">Mécanique!$D$5</definedName>
    <definedName name="rail_crois_ligne">Données!$C$45</definedName>
    <definedName name="RAIL_fibre">Mécanique!$D$3</definedName>
    <definedName name="RAIL_Inertia">Mécanique!$D$4</definedName>
    <definedName name="rail_ligne">Données!$C$34</definedName>
    <definedName name="RAIL_Sécu">Mécanique!$D$6</definedName>
    <definedName name="Rail24Black">Logistique!$H$6</definedName>
    <definedName name="Resist_syst">'EC1-Vent'!$J$51:$L$52</definedName>
    <definedName name="select">'Config type'!$B$1</definedName>
    <definedName name="sélect">'Config type'!$B$1</definedName>
    <definedName name="Sn_droit">'EC1 - CC'!$J$3</definedName>
    <definedName name="Sn_paral">'EC1 - CC'!$J$4</definedName>
    <definedName name="Surcharge">Données!$C$16</definedName>
    <definedName name="toit_dim_e10">'EC1-Vent'!$D$63</definedName>
    <definedName name="toit_dim_e4">'EC1-Vent'!$D$64</definedName>
    <definedName name="Toit_Forme">'EC1-Vent'!$C$1:$C$2</definedName>
    <definedName name="toit_larg">'Configurateur IZI-PV'!$D$16</definedName>
    <definedName name="toit_long">'Configurateur IZI-PV'!$D$17</definedName>
    <definedName name="Vent_Vb0">'EC1-Vent'!$C$7:$J$8</definedName>
    <definedName name="Vent_Zone">'EC1-Vent'!$C$7:$J$7</definedName>
    <definedName name="Verif_Bi">'EC1 - CC'!$D$31:$U$34</definedName>
    <definedName name="Verif_Mono">'EC1 - CC'!$D$25:$U$30</definedName>
    <definedName name="Zone_exclusion_BP">Données!$A$72:$B$75</definedName>
    <definedName name="Zone_exclusion_MP">Données!$A$65:$B$70</definedName>
    <definedName name="Zone_Neige">Données!#REF!</definedName>
    <definedName name="Zone_Toit_Bi">'EC1 - CC'!$L$9:$L$12</definedName>
    <definedName name="Zone_toit_exclusion">Données!$C$64:$H$75</definedName>
    <definedName name="Zone_Toit_Mono">'EC1 - CC'!$C$9:$C$14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6" l="1"/>
  <c r="D58" i="2"/>
  <c r="D6" i="5"/>
  <c r="D5" i="5"/>
  <c r="O22" i="4"/>
  <c r="O19" i="4"/>
  <c r="K17" i="4"/>
  <c r="M8" i="3"/>
  <c r="M5" i="3"/>
  <c r="M4" i="3"/>
  <c r="M3" i="3"/>
  <c r="G7" i="3"/>
  <c r="M7" i="3" s="1"/>
  <c r="G6" i="3"/>
  <c r="M6" i="3" s="1"/>
  <c r="J25" i="4"/>
  <c r="I64" i="2"/>
  <c r="H75" i="2"/>
  <c r="H72" i="2"/>
  <c r="G73" i="2"/>
  <c r="G72" i="2"/>
  <c r="F73" i="2"/>
  <c r="F72" i="2"/>
  <c r="E72" i="2"/>
  <c r="D74" i="2"/>
  <c r="D72" i="2"/>
  <c r="C72" i="2"/>
  <c r="H69" i="2"/>
  <c r="H65" i="2"/>
  <c r="G70" i="2"/>
  <c r="G65" i="2"/>
  <c r="F66" i="2"/>
  <c r="F65" i="2"/>
  <c r="E68" i="2"/>
  <c r="E65" i="2"/>
  <c r="D67" i="2"/>
  <c r="D65" i="2"/>
  <c r="C65" i="2"/>
  <c r="B73" i="2"/>
  <c r="B74" i="2"/>
  <c r="B75" i="2"/>
  <c r="B72" i="2"/>
  <c r="B66" i="2"/>
  <c r="B67" i="2"/>
  <c r="B68" i="2"/>
  <c r="B69" i="2"/>
  <c r="B70" i="2"/>
  <c r="B65" i="2"/>
  <c r="I17" i="9"/>
  <c r="G2" i="9"/>
  <c r="G3" i="9" s="1"/>
  <c r="D63" i="6"/>
  <c r="D65" i="6" s="1"/>
  <c r="D64" i="6"/>
  <c r="D68" i="6" s="1"/>
  <c r="D34" i="9"/>
  <c r="D33" i="9"/>
  <c r="D32" i="9"/>
  <c r="D31" i="9"/>
  <c r="D30" i="9"/>
  <c r="D29" i="9"/>
  <c r="D28" i="9"/>
  <c r="D27" i="9"/>
  <c r="D26" i="9"/>
  <c r="D25" i="9"/>
  <c r="R24" i="9"/>
  <c r="Q24" i="9"/>
  <c r="P24" i="9"/>
  <c r="O24" i="9"/>
  <c r="N24" i="9"/>
  <c r="M24" i="9"/>
  <c r="I20" i="9"/>
  <c r="J20" i="9" s="1"/>
  <c r="E20" i="9"/>
  <c r="E21" i="9" s="1"/>
  <c r="E24" i="9" s="1"/>
  <c r="I72" i="2" l="1"/>
  <c r="A72" i="2" s="1"/>
  <c r="I65" i="2"/>
  <c r="A65" i="2" s="1"/>
  <c r="D67" i="6"/>
  <c r="G4" i="9"/>
  <c r="D66" i="6"/>
  <c r="J21" i="9"/>
  <c r="J24" i="9" s="1"/>
  <c r="K20" i="9"/>
  <c r="I21" i="9"/>
  <c r="I24" i="9" s="1"/>
  <c r="F20" i="9"/>
  <c r="F9" i="7"/>
  <c r="O8" i="6"/>
  <c r="E8" i="2"/>
  <c r="C58" i="1" l="1"/>
  <c r="K21" i="9"/>
  <c r="K24" i="9" s="1"/>
  <c r="L20" i="9"/>
  <c r="L21" i="9" s="1"/>
  <c r="L24" i="9" s="1"/>
  <c r="F21" i="9"/>
  <c r="F24" i="9" s="1"/>
  <c r="G20" i="9"/>
  <c r="D5" i="8"/>
  <c r="D6" i="8"/>
  <c r="D7" i="8"/>
  <c r="D8" i="8"/>
  <c r="D9" i="8"/>
  <c r="D10" i="8"/>
  <c r="D11" i="8"/>
  <c r="D4" i="8"/>
  <c r="G21" i="9" l="1"/>
  <c r="G24" i="9" s="1"/>
  <c r="H20" i="9"/>
  <c r="H21" i="9" s="1"/>
  <c r="H24" i="9" s="1"/>
  <c r="C13" i="8"/>
  <c r="C21" i="8" s="1"/>
  <c r="E21" i="8" s="1"/>
  <c r="E23" i="8" s="1"/>
  <c r="E11" i="8"/>
  <c r="E5" i="8"/>
  <c r="E6" i="8"/>
  <c r="E7" i="8"/>
  <c r="E8" i="8"/>
  <c r="E9" i="8"/>
  <c r="E10" i="8"/>
  <c r="E4" i="8"/>
  <c r="C17" i="8" l="1"/>
  <c r="J2" i="9" s="1"/>
  <c r="E22" i="8"/>
  <c r="E17" i="8" l="1"/>
  <c r="E19" i="8" s="1"/>
  <c r="J4" i="9" s="1"/>
  <c r="C68" i="1" a="1"/>
  <c r="C68" i="1" s="1"/>
  <c r="C69" i="1" a="1"/>
  <c r="C69" i="1" s="1"/>
  <c r="C70" i="1" a="1"/>
  <c r="C70" i="1" s="1"/>
  <c r="C71" i="1" a="1"/>
  <c r="C71" i="1" s="1"/>
  <c r="C72" i="1" a="1"/>
  <c r="C72" i="1" s="1"/>
  <c r="C67" i="1" a="1"/>
  <c r="C67" i="1" s="1"/>
  <c r="E18" i="8" l="1"/>
  <c r="J3" i="9" s="1"/>
  <c r="D14" i="7"/>
  <c r="F14" i="7" s="1"/>
  <c r="F11" i="7"/>
  <c r="G11" i="7" s="1"/>
  <c r="H11" i="7" s="1"/>
  <c r="I9" i="7"/>
  <c r="F10" i="7"/>
  <c r="G10" i="7" s="1"/>
  <c r="H10" i="7" s="1"/>
  <c r="I10" i="7" l="1"/>
  <c r="G9" i="7"/>
  <c r="H9" i="7" s="1"/>
  <c r="I11" i="7"/>
  <c r="J7" i="7" l="1"/>
  <c r="G53" i="6" l="1"/>
  <c r="D53" i="6" l="1"/>
  <c r="F34" i="6"/>
  <c r="D38" i="6"/>
  <c r="E48" i="6"/>
  <c r="F31" i="6"/>
  <c r="D34" i="6"/>
  <c r="D31" i="6"/>
  <c r="G50" i="6"/>
  <c r="D32" i="6"/>
  <c r="F35" i="6"/>
  <c r="F39" i="6"/>
  <c r="D49" i="6"/>
  <c r="F51" i="6"/>
  <c r="F38" i="6"/>
  <c r="F48" i="6"/>
  <c r="C51" i="6"/>
  <c r="G32" i="6"/>
  <c r="D36" i="6"/>
  <c r="D40" i="6"/>
  <c r="F49" i="6"/>
  <c r="C52" i="6"/>
  <c r="C33" i="6"/>
  <c r="F36" i="6"/>
  <c r="F40" i="6"/>
  <c r="G49" i="6"/>
  <c r="D52" i="6"/>
  <c r="G33" i="6"/>
  <c r="F37" i="6"/>
  <c r="C48" i="6"/>
  <c r="E50" i="6"/>
  <c r="G52" i="6"/>
  <c r="C31" i="6"/>
  <c r="F32" i="6"/>
  <c r="C34" i="6"/>
  <c r="G35" i="6"/>
  <c r="G37" i="6"/>
  <c r="G39" i="6"/>
  <c r="D48" i="6"/>
  <c r="E49" i="6"/>
  <c r="F50" i="6"/>
  <c r="G51" i="6"/>
  <c r="C53" i="6"/>
  <c r="E53" i="6"/>
  <c r="G31" i="6"/>
  <c r="D33" i="6"/>
  <c r="G34" i="6"/>
  <c r="G36" i="6"/>
  <c r="G38" i="6"/>
  <c r="G40" i="6"/>
  <c r="G48" i="6"/>
  <c r="C50" i="6"/>
  <c r="D51" i="6"/>
  <c r="E52" i="6"/>
  <c r="F53" i="6"/>
  <c r="C32" i="6"/>
  <c r="F33" i="6"/>
  <c r="D35" i="6"/>
  <c r="D37" i="6"/>
  <c r="D39" i="6"/>
  <c r="C40" i="6"/>
  <c r="C49" i="6"/>
  <c r="D50" i="6"/>
  <c r="E51" i="6"/>
  <c r="F52" i="6"/>
  <c r="E31" i="6"/>
  <c r="E32" i="6"/>
  <c r="E33" i="6"/>
  <c r="E34" i="6"/>
  <c r="E35" i="6"/>
  <c r="E36" i="6"/>
  <c r="E37" i="6"/>
  <c r="E38" i="6"/>
  <c r="E39" i="6"/>
  <c r="E40" i="6"/>
  <c r="H31" i="6"/>
  <c r="H32" i="6"/>
  <c r="H33" i="6"/>
  <c r="H34" i="6"/>
  <c r="H35" i="6"/>
  <c r="H36" i="6"/>
  <c r="H37" i="6"/>
  <c r="H38" i="6"/>
  <c r="H39" i="6"/>
  <c r="H40" i="6"/>
  <c r="C35" i="6"/>
  <c r="C36" i="6"/>
  <c r="C37" i="6"/>
  <c r="C38" i="6"/>
  <c r="C39" i="6"/>
  <c r="K51" i="6" l="1"/>
  <c r="H22" i="6"/>
  <c r="V59" i="6" l="1"/>
  <c r="U59" i="6"/>
  <c r="T59" i="6"/>
  <c r="S59" i="6"/>
  <c r="R59" i="6"/>
  <c r="S57" i="6" s="1"/>
  <c r="J55" i="6"/>
  <c r="B55" i="6"/>
  <c r="T52" i="6"/>
  <c r="S51" i="6"/>
  <c r="J42" i="6"/>
  <c r="B42" i="6"/>
  <c r="J26" i="6"/>
  <c r="B26" i="6"/>
  <c r="E21" i="6"/>
  <c r="E20" i="6"/>
  <c r="E23" i="6" s="1"/>
  <c r="K12" i="6"/>
  <c r="K11" i="6"/>
  <c r="K10" i="6"/>
  <c r="L53" i="6"/>
  <c r="M7" i="6"/>
  <c r="M6" i="6"/>
  <c r="M5" i="6"/>
  <c r="S41" i="6" l="1"/>
  <c r="F43" i="6"/>
  <c r="F42" i="6"/>
  <c r="D43" i="6"/>
  <c r="C43" i="6"/>
  <c r="C42" i="6"/>
  <c r="D42" i="6"/>
  <c r="H42" i="6"/>
  <c r="G42" i="6"/>
  <c r="H43" i="6"/>
  <c r="E42" i="6"/>
  <c r="E43" i="6"/>
  <c r="G43" i="6"/>
  <c r="E22" i="6"/>
  <c r="N53" i="6"/>
  <c r="K33" i="6"/>
  <c r="L50" i="6"/>
  <c r="M50" i="6"/>
  <c r="T33" i="6"/>
  <c r="L37" i="6"/>
  <c r="S53" i="6"/>
  <c r="U33" i="6"/>
  <c r="T37" i="6"/>
  <c r="U45" i="6"/>
  <c r="K52" i="6"/>
  <c r="T57" i="6"/>
  <c r="L52" i="6"/>
  <c r="O31" i="6"/>
  <c r="N34" i="6"/>
  <c r="O35" i="6"/>
  <c r="K37" i="6"/>
  <c r="O38" i="6"/>
  <c r="K40" i="6"/>
  <c r="K48" i="6"/>
  <c r="M53" i="6"/>
  <c r="L33" i="6"/>
  <c r="O34" i="6"/>
  <c r="K36" i="6"/>
  <c r="O39" i="6"/>
  <c r="M49" i="6"/>
  <c r="N49" i="6"/>
  <c r="K32" i="6"/>
  <c r="N38" i="6"/>
  <c r="T41" i="6"/>
  <c r="U57" i="6"/>
  <c r="K31" i="6"/>
  <c r="L32" i="6"/>
  <c r="M33" i="6"/>
  <c r="V33" i="6"/>
  <c r="K35" i="6"/>
  <c r="L36" i="6"/>
  <c r="M37" i="6"/>
  <c r="V37" i="6"/>
  <c r="K39" i="6"/>
  <c r="L40" i="6"/>
  <c r="U41" i="6"/>
  <c r="L48" i="6"/>
  <c r="S49" i="6"/>
  <c r="N50" i="6"/>
  <c r="M52" i="6"/>
  <c r="V57" i="6"/>
  <c r="L31" i="6"/>
  <c r="M32" i="6"/>
  <c r="N33" i="6"/>
  <c r="K34" i="6"/>
  <c r="L35" i="6"/>
  <c r="M36" i="6"/>
  <c r="N37" i="6"/>
  <c r="K38" i="6"/>
  <c r="L39" i="6"/>
  <c r="M40" i="6"/>
  <c r="V41" i="6"/>
  <c r="M48" i="6"/>
  <c r="T49" i="6"/>
  <c r="L51" i="6"/>
  <c r="N52" i="6"/>
  <c r="T53" i="6"/>
  <c r="V45" i="6"/>
  <c r="M31" i="6"/>
  <c r="N32" i="6"/>
  <c r="O33" i="6"/>
  <c r="L34" i="6"/>
  <c r="M35" i="6"/>
  <c r="N36" i="6"/>
  <c r="O37" i="6"/>
  <c r="L38" i="6"/>
  <c r="M39" i="6"/>
  <c r="N40" i="6"/>
  <c r="S45" i="6"/>
  <c r="N48" i="6"/>
  <c r="K49" i="6"/>
  <c r="U49" i="6"/>
  <c r="M51" i="6"/>
  <c r="K53" i="6"/>
  <c r="U53" i="6"/>
  <c r="U37" i="6"/>
  <c r="N31" i="6"/>
  <c r="O32" i="6"/>
  <c r="S33" i="6"/>
  <c r="M34" i="6"/>
  <c r="N35" i="6"/>
  <c r="O36" i="6"/>
  <c r="S37" i="6"/>
  <c r="M38" i="6"/>
  <c r="N39" i="6"/>
  <c r="O40" i="6"/>
  <c r="T45" i="6"/>
  <c r="L49" i="6"/>
  <c r="V49" i="6"/>
  <c r="K50" i="6"/>
  <c r="N51" i="6"/>
  <c r="V53" i="6"/>
  <c r="O43" i="6" l="1"/>
  <c r="M42" i="6"/>
  <c r="N42" i="6"/>
  <c r="L42" i="6"/>
  <c r="N43" i="6"/>
  <c r="K42" i="6"/>
  <c r="O42" i="6"/>
  <c r="M43" i="6"/>
  <c r="L43" i="6"/>
  <c r="K43" i="6"/>
  <c r="S60" i="6"/>
  <c r="U60" i="6"/>
  <c r="M55" i="6"/>
  <c r="E24" i="6"/>
  <c r="H20" i="6" s="1"/>
  <c r="K20" i="6"/>
  <c r="L55" i="6"/>
  <c r="V60" i="6"/>
  <c r="F55" i="6"/>
  <c r="G55" i="6"/>
  <c r="N55" i="6"/>
  <c r="K55" i="6"/>
  <c r="C55" i="6"/>
  <c r="D55" i="6"/>
  <c r="E55" i="6"/>
  <c r="T60" i="6"/>
  <c r="E13" i="9" l="1"/>
  <c r="D14" i="9"/>
  <c r="E10" i="9"/>
  <c r="D9" i="9"/>
  <c r="E14" i="9"/>
  <c r="N11" i="9"/>
  <c r="M11" i="9"/>
  <c r="E9" i="9"/>
  <c r="N10" i="9"/>
  <c r="M9" i="9"/>
  <c r="M10" i="9"/>
  <c r="N9" i="9"/>
  <c r="E12" i="9"/>
  <c r="E11" i="9"/>
  <c r="D12" i="9"/>
  <c r="D11" i="9"/>
  <c r="N12" i="9"/>
  <c r="M12" i="9"/>
  <c r="D10" i="9"/>
  <c r="D13" i="9"/>
  <c r="H21" i="6"/>
  <c r="N20" i="6"/>
  <c r="N23" i="6" l="1"/>
  <c r="N21" i="6"/>
  <c r="N22" i="6" s="1"/>
  <c r="P12" i="9" s="1"/>
  <c r="R12" i="9" s="1"/>
  <c r="G9" i="9" l="1"/>
  <c r="H9" i="9" s="1"/>
  <c r="F14" i="9"/>
  <c r="J14" i="9" s="1"/>
  <c r="F9" i="9"/>
  <c r="J9" i="9" s="1"/>
  <c r="G13" i="9"/>
  <c r="I13" i="9" s="1"/>
  <c r="G14" i="9"/>
  <c r="I14" i="9" s="1"/>
  <c r="G10" i="9"/>
  <c r="P11" i="9"/>
  <c r="R11" i="9" s="1"/>
  <c r="P10" i="9"/>
  <c r="R10" i="9" s="1"/>
  <c r="O9" i="9"/>
  <c r="S9" i="9" s="1"/>
  <c r="O11" i="9"/>
  <c r="S11" i="9" s="1"/>
  <c r="F12" i="9"/>
  <c r="J12" i="9" s="1"/>
  <c r="F11" i="9"/>
  <c r="J11" i="9" s="1"/>
  <c r="O10" i="9"/>
  <c r="S10" i="9" s="1"/>
  <c r="G11" i="9"/>
  <c r="I11" i="9" s="1"/>
  <c r="P9" i="9"/>
  <c r="R9" i="9" s="1"/>
  <c r="G12" i="9"/>
  <c r="I12" i="9" s="1"/>
  <c r="F10" i="9"/>
  <c r="J10" i="9" s="1"/>
  <c r="F13" i="9"/>
  <c r="J13" i="9" s="1"/>
  <c r="O12" i="9"/>
  <c r="S12" i="9" s="1"/>
  <c r="O25" i="4"/>
  <c r="N25" i="4"/>
  <c r="M25" i="4"/>
  <c r="L25" i="4"/>
  <c r="K25" i="4"/>
  <c r="I9" i="9" l="1"/>
  <c r="Q9" i="9"/>
  <c r="Q31" i="9" s="1"/>
  <c r="H10" i="9"/>
  <c r="I10" i="9"/>
  <c r="Q10" i="9"/>
  <c r="H32" i="9" s="1"/>
  <c r="H14" i="9"/>
  <c r="M30" i="9" s="1"/>
  <c r="Q12" i="9"/>
  <c r="L34" i="9" s="1"/>
  <c r="H12" i="9"/>
  <c r="J28" i="9" s="1"/>
  <c r="H13" i="9"/>
  <c r="G29" i="9" s="1"/>
  <c r="H11" i="9"/>
  <c r="R27" i="9" s="1"/>
  <c r="Q11" i="9"/>
  <c r="L33" i="9" s="1"/>
  <c r="J15" i="3"/>
  <c r="K15" i="3"/>
  <c r="L15" i="3"/>
  <c r="M15" i="3"/>
  <c r="I15" i="3"/>
  <c r="K12" i="3"/>
  <c r="L12" i="3"/>
  <c r="J13" i="3"/>
  <c r="K13" i="3"/>
  <c r="L13" i="3"/>
  <c r="M13" i="3"/>
  <c r="J14" i="3"/>
  <c r="K14" i="3"/>
  <c r="L14" i="3"/>
  <c r="M14" i="3"/>
  <c r="J16" i="3"/>
  <c r="K16" i="3"/>
  <c r="L16" i="3"/>
  <c r="M16" i="3"/>
  <c r="I13" i="3"/>
  <c r="I14" i="3"/>
  <c r="I16" i="3"/>
  <c r="B16" i="3" l="1"/>
  <c r="I31" i="9"/>
  <c r="F31" i="9"/>
  <c r="O31" i="9"/>
  <c r="T31" i="9" s="1"/>
  <c r="H31" i="9"/>
  <c r="G31" i="9"/>
  <c r="L31" i="9"/>
  <c r="M31" i="9"/>
  <c r="R31" i="9"/>
  <c r="N31" i="9"/>
  <c r="J31" i="9"/>
  <c r="E31" i="9"/>
  <c r="P31" i="9"/>
  <c r="J25" i="9"/>
  <c r="Q25" i="9"/>
  <c r="F25" i="9"/>
  <c r="I25" i="9"/>
  <c r="O25" i="9"/>
  <c r="M26" i="9"/>
  <c r="L25" i="9"/>
  <c r="K31" i="9"/>
  <c r="K25" i="9"/>
  <c r="R25" i="9"/>
  <c r="N25" i="9"/>
  <c r="E25" i="9"/>
  <c r="H25" i="9"/>
  <c r="M25" i="9"/>
  <c r="U25" i="9" s="1"/>
  <c r="G25" i="9"/>
  <c r="P25" i="9"/>
  <c r="G33" i="9"/>
  <c r="O26" i="9"/>
  <c r="M32" i="9"/>
  <c r="E27" i="9"/>
  <c r="P29" i="9"/>
  <c r="K28" i="9"/>
  <c r="F26" i="9"/>
  <c r="N32" i="9"/>
  <c r="Q27" i="9"/>
  <c r="K29" i="9"/>
  <c r="O28" i="9"/>
  <c r="J26" i="9"/>
  <c r="I32" i="9"/>
  <c r="J27" i="9"/>
  <c r="M29" i="9"/>
  <c r="K33" i="9"/>
  <c r="R28" i="9"/>
  <c r="H26" i="9"/>
  <c r="I30" i="9"/>
  <c r="F27" i="9"/>
  <c r="Q33" i="9"/>
  <c r="E28" i="9"/>
  <c r="L26" i="9"/>
  <c r="J30" i="9"/>
  <c r="M27" i="9"/>
  <c r="R33" i="9"/>
  <c r="N28" i="9"/>
  <c r="G32" i="9"/>
  <c r="N30" i="9"/>
  <c r="U30" i="9" s="1"/>
  <c r="Q29" i="9"/>
  <c r="R34" i="9"/>
  <c r="J33" i="9"/>
  <c r="M33" i="9"/>
  <c r="Q28" i="9"/>
  <c r="I28" i="9"/>
  <c r="E26" i="9"/>
  <c r="R26" i="9"/>
  <c r="N26" i="9"/>
  <c r="F32" i="9"/>
  <c r="O32" i="9"/>
  <c r="G30" i="9"/>
  <c r="H30" i="9"/>
  <c r="I27" i="9"/>
  <c r="P27" i="9"/>
  <c r="N27" i="9"/>
  <c r="F29" i="9"/>
  <c r="H29" i="9"/>
  <c r="O34" i="9"/>
  <c r="K34" i="9"/>
  <c r="O30" i="9"/>
  <c r="E34" i="9"/>
  <c r="I33" i="9"/>
  <c r="P33" i="9"/>
  <c r="H33" i="9"/>
  <c r="H28" i="9"/>
  <c r="M28" i="9"/>
  <c r="U28" i="9" s="1"/>
  <c r="I26" i="9"/>
  <c r="G26" i="9"/>
  <c r="E32" i="9"/>
  <c r="L32" i="9"/>
  <c r="J32" i="9"/>
  <c r="K30" i="9"/>
  <c r="L30" i="9"/>
  <c r="O27" i="9"/>
  <c r="H27" i="9"/>
  <c r="O29" i="9"/>
  <c r="J29" i="9"/>
  <c r="L29" i="9"/>
  <c r="H34" i="9"/>
  <c r="Q34" i="9"/>
  <c r="M34" i="9"/>
  <c r="U34" i="9" s="1"/>
  <c r="I34" i="9"/>
  <c r="O33" i="9"/>
  <c r="F33" i="9"/>
  <c r="N33" i="9"/>
  <c r="L28" i="9"/>
  <c r="F28" i="9"/>
  <c r="Q26" i="9"/>
  <c r="K26" i="9"/>
  <c r="K32" i="9"/>
  <c r="R32" i="9"/>
  <c r="P32" i="9"/>
  <c r="Q30" i="9"/>
  <c r="H72" i="1" s="1"/>
  <c r="R30" i="9"/>
  <c r="G27" i="9"/>
  <c r="L27" i="9"/>
  <c r="E29" i="9"/>
  <c r="R29" i="9"/>
  <c r="N29" i="9"/>
  <c r="N34" i="9"/>
  <c r="F34" i="9"/>
  <c r="P34" i="9"/>
  <c r="P30" i="9"/>
  <c r="E33" i="9"/>
  <c r="G28" i="9"/>
  <c r="P28" i="9"/>
  <c r="P26" i="9"/>
  <c r="Q32" i="9"/>
  <c r="E30" i="9"/>
  <c r="F30" i="9"/>
  <c r="K27" i="9"/>
  <c r="I29" i="9"/>
  <c r="G34" i="9"/>
  <c r="J34" i="9"/>
  <c r="B14" i="3"/>
  <c r="B15" i="3"/>
  <c r="B13" i="3"/>
  <c r="U26" i="9" l="1"/>
  <c r="U33" i="9"/>
  <c r="H69" i="1" s="1"/>
  <c r="U29" i="9"/>
  <c r="U32" i="9"/>
  <c r="U31" i="9"/>
  <c r="H58" i="1" s="1"/>
  <c r="U27" i="9"/>
  <c r="T29" i="9"/>
  <c r="F71" i="1" s="1"/>
  <c r="S33" i="9"/>
  <c r="S34" i="9"/>
  <c r="S32" i="9"/>
  <c r="S31" i="9"/>
  <c r="S29" i="9"/>
  <c r="D71" i="1" s="1"/>
  <c r="E71" i="1" s="1"/>
  <c r="S25" i="9"/>
  <c r="S27" i="9"/>
  <c r="S30" i="9"/>
  <c r="D72" i="1" s="1"/>
  <c r="E72" i="1" s="1"/>
  <c r="S28" i="9"/>
  <c r="S26" i="9"/>
  <c r="H71" i="1"/>
  <c r="T25" i="9"/>
  <c r="F58" i="1" s="1"/>
  <c r="T27" i="9"/>
  <c r="H70" i="1"/>
  <c r="H68" i="1"/>
  <c r="T34" i="9"/>
  <c r="T30" i="9"/>
  <c r="F72" i="1" s="1"/>
  <c r="T28" i="9"/>
  <c r="T32" i="9"/>
  <c r="T33" i="9"/>
  <c r="T26" i="9"/>
  <c r="B3" i="3"/>
  <c r="I11" i="3" s="1"/>
  <c r="B10" i="5"/>
  <c r="B13" i="5"/>
  <c r="B12" i="5"/>
  <c r="B11" i="5"/>
  <c r="J24" i="4"/>
  <c r="E29" i="4"/>
  <c r="O12" i="4"/>
  <c r="N12" i="4"/>
  <c r="M12" i="4"/>
  <c r="L12" i="4"/>
  <c r="K12" i="4"/>
  <c r="G31" i="2"/>
  <c r="F31" i="2"/>
  <c r="E31" i="2"/>
  <c r="D31" i="2"/>
  <c r="G26" i="3"/>
  <c r="F28" i="3"/>
  <c r="E28" i="3"/>
  <c r="D28" i="3"/>
  <c r="F27" i="3"/>
  <c r="E27" i="3"/>
  <c r="D27" i="3"/>
  <c r="F26" i="3"/>
  <c r="E26" i="3"/>
  <c r="D26" i="3"/>
  <c r="C28" i="3"/>
  <c r="C27" i="3"/>
  <c r="C26" i="3"/>
  <c r="E28" i="4"/>
  <c r="F24" i="4"/>
  <c r="F23" i="4"/>
  <c r="F22" i="4"/>
  <c r="F21" i="4"/>
  <c r="F20" i="4"/>
  <c r="F19" i="4"/>
  <c r="F18" i="4"/>
  <c r="F17" i="4"/>
  <c r="F12" i="4"/>
  <c r="F9" i="4"/>
  <c r="E16" i="4"/>
  <c r="F16" i="4" s="1"/>
  <c r="E15" i="4"/>
  <c r="F15" i="4" s="1"/>
  <c r="E14" i="4"/>
  <c r="F14" i="4" s="1"/>
  <c r="E13" i="4"/>
  <c r="F13" i="4" s="1"/>
  <c r="E11" i="4"/>
  <c r="F11" i="4" s="1"/>
  <c r="E10" i="4"/>
  <c r="F10" i="4" s="1"/>
  <c r="B8" i="3"/>
  <c r="B7" i="3"/>
  <c r="M12" i="3" s="1"/>
  <c r="B6" i="3"/>
  <c r="M11" i="3" s="1"/>
  <c r="B5" i="3"/>
  <c r="L11" i="3" s="1"/>
  <c r="B4" i="3"/>
  <c r="K11" i="3" s="1"/>
  <c r="E27" i="4"/>
  <c r="H67" i="1" l="1"/>
  <c r="D69" i="1"/>
  <c r="E69" i="1" s="1"/>
  <c r="D58" i="1"/>
  <c r="F69" i="1"/>
  <c r="F67" i="1"/>
  <c r="D67" i="1"/>
  <c r="E67" i="1" s="1"/>
  <c r="D68" i="1"/>
  <c r="E68" i="1" s="1"/>
  <c r="F68" i="1"/>
  <c r="D70" i="1"/>
  <c r="E70" i="1" s="1"/>
  <c r="F70" i="1"/>
  <c r="J11" i="3"/>
  <c r="B11" i="3" s="1"/>
  <c r="I12" i="3"/>
  <c r="J12" i="3"/>
  <c r="O13" i="4"/>
  <c r="N15" i="4"/>
  <c r="O16" i="4"/>
  <c r="M14" i="4"/>
  <c r="L13" i="4"/>
  <c r="K13" i="4"/>
  <c r="N13" i="4"/>
  <c r="N14" i="4"/>
  <c r="K15" i="4"/>
  <c r="O15" i="4"/>
  <c r="O14" i="4"/>
  <c r="K16" i="4"/>
  <c r="M13" i="4"/>
  <c r="L16" i="4"/>
  <c r="K14" i="4"/>
  <c r="L15" i="4"/>
  <c r="M16" i="4"/>
  <c r="L14" i="4"/>
  <c r="M15" i="4"/>
  <c r="N16" i="4"/>
  <c r="O11" i="4"/>
  <c r="N11" i="4"/>
  <c r="M11" i="4"/>
  <c r="K11" i="4"/>
  <c r="L11" i="4"/>
  <c r="M10" i="4"/>
  <c r="L10" i="4"/>
  <c r="O10" i="4"/>
  <c r="N10" i="4"/>
  <c r="K10" i="4"/>
  <c r="E58" i="1" l="1"/>
  <c r="B12" i="3"/>
  <c r="L18" i="4"/>
  <c r="L17" i="4"/>
  <c r="K18" i="4"/>
  <c r="O1" i="4" l="1"/>
  <c r="L1" i="4"/>
  <c r="M1" i="4"/>
  <c r="N1" i="4"/>
  <c r="K1" i="4"/>
  <c r="E5" i="4"/>
  <c r="E4" i="4"/>
  <c r="E3" i="4"/>
  <c r="E8" i="4"/>
  <c r="E7" i="4"/>
  <c r="E6" i="4"/>
  <c r="D5" i="4"/>
  <c r="F5" i="4" s="1"/>
  <c r="D4" i="4"/>
  <c r="F4" i="4" s="1"/>
  <c r="D3" i="4"/>
  <c r="F3" i="4" s="1"/>
  <c r="D8" i="4"/>
  <c r="F8" i="4" s="1"/>
  <c r="D7" i="4"/>
  <c r="F7" i="4" s="1"/>
  <c r="D6" i="4"/>
  <c r="F6" i="4" l="1"/>
  <c r="M3" i="4"/>
  <c r="O4" i="4"/>
  <c r="O5" i="4"/>
  <c r="K5" i="4"/>
  <c r="N5" i="4"/>
  <c r="L5" i="4"/>
  <c r="M5" i="4"/>
  <c r="F58" i="2"/>
  <c r="A5" i="4" l="1"/>
  <c r="O3" i="4"/>
  <c r="N3" i="4"/>
  <c r="K3" i="4"/>
  <c r="L3" i="4"/>
  <c r="K4" i="4"/>
  <c r="L4" i="4"/>
  <c r="N4" i="4"/>
  <c r="M4" i="4"/>
  <c r="M6" i="4"/>
  <c r="K6" i="4"/>
  <c r="L6" i="4"/>
  <c r="N6" i="4"/>
  <c r="O6" i="4"/>
  <c r="O7" i="4"/>
  <c r="K7" i="4"/>
  <c r="N7" i="4"/>
  <c r="L7" i="4"/>
  <c r="M7" i="4"/>
  <c r="L8" i="4"/>
  <c r="O8" i="4"/>
  <c r="M8" i="4"/>
  <c r="N8" i="4"/>
  <c r="K8" i="4"/>
  <c r="G35" i="2"/>
  <c r="G58" i="2"/>
  <c r="G59" i="2" s="1"/>
  <c r="G60" i="2" s="1"/>
  <c r="G33" i="2" s="1"/>
  <c r="G32" i="2"/>
  <c r="G37" i="2" s="1"/>
  <c r="G39" i="2" s="1"/>
  <c r="F46" i="2"/>
  <c r="E35" i="2"/>
  <c r="D35" i="2"/>
  <c r="F27" i="2"/>
  <c r="F29" i="2"/>
  <c r="F28" i="2"/>
  <c r="F24" i="2"/>
  <c r="F23" i="2"/>
  <c r="F22" i="2"/>
  <c r="E32" i="2"/>
  <c r="D32" i="2"/>
  <c r="F32" i="2"/>
  <c r="F35" i="2" s="1"/>
  <c r="E58" i="2"/>
  <c r="E59" i="2" s="1"/>
  <c r="E60" i="2" s="1"/>
  <c r="E33" i="2" s="1"/>
  <c r="F25" i="2"/>
  <c r="D59" i="2"/>
  <c r="A3" i="4" l="1"/>
  <c r="D61" i="2"/>
  <c r="D60" i="2"/>
  <c r="D33" i="2" s="1"/>
  <c r="A4" i="4"/>
  <c r="E44" i="2"/>
  <c r="G44" i="2"/>
  <c r="C35" i="2"/>
  <c r="C58" i="2"/>
  <c r="F45" i="2"/>
  <c r="C32" i="2"/>
  <c r="F59" i="2"/>
  <c r="F48" i="2"/>
  <c r="F49" i="2" s="1"/>
  <c r="G34" i="2"/>
  <c r="G40" i="2" s="1"/>
  <c r="G38" i="2"/>
  <c r="G75" i="2" l="1"/>
  <c r="H66" i="2"/>
  <c r="F75" i="2"/>
  <c r="G74" i="2"/>
  <c r="F74" i="2"/>
  <c r="E74" i="2"/>
  <c r="H73" i="2"/>
  <c r="G69" i="2"/>
  <c r="F70" i="2"/>
  <c r="H70" i="2"/>
  <c r="F69" i="2"/>
  <c r="F68" i="2"/>
  <c r="G66" i="2"/>
  <c r="F67" i="2"/>
  <c r="E67" i="2"/>
  <c r="D68" i="2"/>
  <c r="C67" i="2"/>
  <c r="C74" i="2"/>
  <c r="C68" i="2"/>
  <c r="I34" i="1"/>
  <c r="A6" i="4"/>
  <c r="A7" i="4" s="1"/>
  <c r="F60" i="2"/>
  <c r="F33" i="2" s="1"/>
  <c r="D37" i="2"/>
  <c r="C46" i="2"/>
  <c r="F51" i="2"/>
  <c r="F50" i="2"/>
  <c r="E37" i="2"/>
  <c r="E34" i="2"/>
  <c r="G25" i="3"/>
  <c r="F25" i="3"/>
  <c r="E25" i="3"/>
  <c r="D25" i="3"/>
  <c r="C25" i="3"/>
  <c r="E21" i="1"/>
  <c r="E20" i="1"/>
  <c r="B27" i="3" l="1"/>
  <c r="B28" i="3"/>
  <c r="B26" i="3"/>
  <c r="A8" i="4"/>
  <c r="F37" i="2"/>
  <c r="F39" i="2" s="1"/>
  <c r="C48" i="2"/>
  <c r="C49" i="2" s="1"/>
  <c r="C33" i="2"/>
  <c r="F34" i="2"/>
  <c r="F40" i="2" s="1"/>
  <c r="F41" i="2" s="1"/>
  <c r="F44" i="2"/>
  <c r="D38" i="2"/>
  <c r="D39" i="2"/>
  <c r="E40" i="2"/>
  <c r="E38" i="2"/>
  <c r="E39" i="2"/>
  <c r="C59" i="2"/>
  <c r="E66" i="2" l="1"/>
  <c r="D66" i="2"/>
  <c r="H74" i="2"/>
  <c r="I74" i="2" s="1"/>
  <c r="D75" i="2"/>
  <c r="C73" i="2"/>
  <c r="E73" i="2"/>
  <c r="D73" i="2"/>
  <c r="C66" i="2"/>
  <c r="G68" i="2"/>
  <c r="E70" i="2"/>
  <c r="D69" i="2"/>
  <c r="H67" i="2"/>
  <c r="D70" i="2"/>
  <c r="H68" i="2"/>
  <c r="C69" i="2"/>
  <c r="G67" i="2"/>
  <c r="C75" i="2"/>
  <c r="E75" i="2"/>
  <c r="E69" i="2"/>
  <c r="C70" i="2"/>
  <c r="I35" i="1"/>
  <c r="C37" i="2"/>
  <c r="A9" i="4"/>
  <c r="C50" i="2"/>
  <c r="C45" i="2"/>
  <c r="F36" i="2"/>
  <c r="C51" i="2"/>
  <c r="C60" i="2"/>
  <c r="A10" i="4" l="1"/>
  <c r="A11" i="4" s="1"/>
  <c r="I67" i="2"/>
  <c r="I68" i="2"/>
  <c r="I66" i="2"/>
  <c r="A66" i="2" s="1"/>
  <c r="I75" i="2"/>
  <c r="I73" i="2"/>
  <c r="A73" i="2" s="1"/>
  <c r="I69" i="2"/>
  <c r="I70" i="2"/>
  <c r="A12" i="4"/>
  <c r="F38" i="2"/>
  <c r="D34" i="2"/>
  <c r="C34" i="2" s="1"/>
  <c r="D44" i="2"/>
  <c r="A13" i="4" l="1"/>
  <c r="A14" i="4" s="1"/>
  <c r="A67" i="2"/>
  <c r="A68" i="2" s="1"/>
  <c r="A74" i="2"/>
  <c r="A75" i="2" s="1"/>
  <c r="A15" i="4"/>
  <c r="C44" i="2"/>
  <c r="C15" i="2" s="1"/>
  <c r="I36" i="1" s="1"/>
  <c r="D40" i="2"/>
  <c r="C38" i="2"/>
  <c r="C39" i="2"/>
  <c r="Q19" i="3"/>
  <c r="Q20" i="3"/>
  <c r="Q21" i="3"/>
  <c r="Q22" i="3"/>
  <c r="Q23" i="3"/>
  <c r="P20" i="3"/>
  <c r="P21" i="3"/>
  <c r="P22" i="3"/>
  <c r="P23" i="3"/>
  <c r="P24" i="3"/>
  <c r="P19" i="3"/>
  <c r="A69" i="2" l="1"/>
  <c r="A70" i="2" s="1"/>
  <c r="A16" i="4"/>
  <c r="C40" i="2"/>
  <c r="G18" i="3"/>
  <c r="N18" i="3" s="1"/>
  <c r="F18" i="3"/>
  <c r="E18" i="3"/>
  <c r="D18" i="3"/>
  <c r="C18" i="3"/>
  <c r="D10" i="3"/>
  <c r="E10" i="3"/>
  <c r="F10" i="3"/>
  <c r="G10" i="3"/>
  <c r="C10" i="3"/>
  <c r="C60" i="1" l="1"/>
  <c r="F60" i="1" s="1"/>
  <c r="C59" i="1"/>
  <c r="C62" i="1"/>
  <c r="C63" i="1"/>
  <c r="C61" i="1"/>
  <c r="A17" i="4"/>
  <c r="B21" i="3"/>
  <c r="B19" i="3"/>
  <c r="B20" i="3"/>
  <c r="E16" i="1" l="1"/>
  <c r="A18" i="4"/>
  <c r="A19" i="4" s="1"/>
  <c r="H60" i="1"/>
  <c r="D60" i="1"/>
  <c r="E60" i="1" s="1"/>
  <c r="F59" i="1"/>
  <c r="H59" i="1"/>
  <c r="D59" i="1"/>
  <c r="H63" i="1"/>
  <c r="D63" i="1"/>
  <c r="E63" i="1" s="1"/>
  <c r="F63" i="1"/>
  <c r="D62" i="1"/>
  <c r="E62" i="1" s="1"/>
  <c r="H62" i="1"/>
  <c r="F62" i="1"/>
  <c r="F61" i="1"/>
  <c r="H61" i="1"/>
  <c r="D61" i="1"/>
  <c r="E18" i="1"/>
  <c r="A20" i="4" l="1"/>
  <c r="A21" i="4" s="1"/>
  <c r="C20" i="2"/>
  <c r="G42" i="2" s="1" a="1"/>
  <c r="G42" i="2" s="1"/>
  <c r="E59" i="1"/>
  <c r="E61" i="1"/>
  <c r="C18" i="2"/>
  <c r="A22" i="4" l="1"/>
  <c r="A23" i="4"/>
  <c r="A24" i="4" s="1"/>
  <c r="E42" i="2" a="1"/>
  <c r="E42" i="2" s="1"/>
  <c r="E43" i="2" s="1"/>
  <c r="D42" i="2" a="1"/>
  <c r="D42" i="2" s="1"/>
  <c r="F42" i="2" a="1"/>
  <c r="F42" i="2" s="1"/>
  <c r="F43" i="2" s="1"/>
  <c r="F54" i="2"/>
  <c r="F55" i="2"/>
  <c r="D54" i="2"/>
  <c r="E55" i="2"/>
  <c r="D55" i="2"/>
  <c r="G54" i="2"/>
  <c r="G55" i="2"/>
  <c r="E54" i="2"/>
  <c r="F53" i="2"/>
  <c r="C53" i="2" s="1"/>
  <c r="J12" i="4" s="1"/>
  <c r="G41" i="2"/>
  <c r="F47" i="2"/>
  <c r="C47" i="2" s="1"/>
  <c r="G43" i="2"/>
  <c r="G36" i="2"/>
  <c r="F52" i="2"/>
  <c r="C52" i="2" s="1"/>
  <c r="E36" i="2"/>
  <c r="E41" i="2"/>
  <c r="D36" i="2"/>
  <c r="D41" i="2"/>
  <c r="C42" i="2" l="1"/>
  <c r="A25" i="4"/>
  <c r="D48" i="1" s="1"/>
  <c r="B20" i="5" s="1"/>
  <c r="D43" i="2"/>
  <c r="C43" i="2" s="1"/>
  <c r="C55" i="2"/>
  <c r="C54" i="2"/>
  <c r="C36" i="2"/>
  <c r="C41" i="2"/>
  <c r="J9" i="4" l="1"/>
  <c r="H45" i="1" s="1"/>
  <c r="D17" i="5" s="1"/>
  <c r="F17" i="5" s="1"/>
  <c r="J13" i="4"/>
  <c r="J16" i="4"/>
  <c r="J8" i="4"/>
  <c r="J19" i="4"/>
  <c r="D50" i="1"/>
  <c r="B22" i="5" s="1"/>
  <c r="D44" i="1"/>
  <c r="B16" i="5" s="1"/>
  <c r="C44" i="1"/>
  <c r="A16" i="5" s="1"/>
  <c r="D45" i="1"/>
  <c r="B17" i="5" s="1"/>
  <c r="C45" i="1"/>
  <c r="A17" i="5" s="1"/>
  <c r="C46" i="1"/>
  <c r="A18" i="5" s="1"/>
  <c r="D46" i="1"/>
  <c r="B18" i="5" s="1"/>
  <c r="D47" i="1"/>
  <c r="B19" i="5" s="1"/>
  <c r="C49" i="1"/>
  <c r="A21" i="5" s="1"/>
  <c r="D51" i="1"/>
  <c r="B23" i="5" s="1"/>
  <c r="D49" i="1"/>
  <c r="B21" i="5" s="1"/>
  <c r="C50" i="1"/>
  <c r="A22" i="5" s="1"/>
  <c r="C47" i="1"/>
  <c r="A19" i="5" s="1"/>
  <c r="C48" i="1"/>
  <c r="A20" i="5" s="1"/>
  <c r="D52" i="1"/>
  <c r="B24" i="5" s="1"/>
  <c r="C51" i="1"/>
  <c r="A23" i="5" s="1"/>
  <c r="H54" i="1"/>
  <c r="H52" i="1"/>
  <c r="D24" i="5" s="1"/>
  <c r="F24" i="5" s="1"/>
  <c r="C54" i="1"/>
  <c r="D53" i="1"/>
  <c r="B25" i="5" s="1"/>
  <c r="C53" i="1"/>
  <c r="A25" i="5" s="1"/>
  <c r="H53" i="1"/>
  <c r="D25" i="5" s="1"/>
  <c r="F25" i="5" s="1"/>
  <c r="D54" i="1"/>
  <c r="C52" i="1"/>
  <c r="A24" i="5" s="1"/>
  <c r="J14" i="4"/>
  <c r="J20" i="4"/>
  <c r="J23" i="4"/>
  <c r="H51" i="1"/>
  <c r="D23" i="5" s="1"/>
  <c r="F23" i="5" s="1"/>
  <c r="J21" i="4"/>
  <c r="J22" i="4"/>
  <c r="J15" i="4"/>
  <c r="H47" i="1" s="1"/>
  <c r="D19" i="5" s="1"/>
  <c r="F19" i="5" s="1"/>
  <c r="J4" i="4"/>
  <c r="J7" i="4"/>
  <c r="J10" i="4"/>
  <c r="J3" i="4"/>
  <c r="J18" i="4"/>
  <c r="J11" i="4"/>
  <c r="J6" i="4"/>
  <c r="J5" i="4"/>
  <c r="J17" i="4"/>
  <c r="H44" i="1" l="1"/>
  <c r="D16" i="5" s="1"/>
  <c r="F16" i="5" s="1"/>
  <c r="H46" i="1"/>
  <c r="D18" i="5" s="1"/>
  <c r="F18" i="5" s="1"/>
  <c r="H49" i="1"/>
  <c r="D21" i="5" s="1"/>
  <c r="F21" i="5" s="1"/>
  <c r="H48" i="1"/>
  <c r="D20" i="5" s="1"/>
  <c r="F20" i="5" s="1"/>
  <c r="H50" i="1"/>
  <c r="D22" i="5" s="1"/>
  <c r="F22" i="5" s="1"/>
  <c r="F27" i="5" l="1"/>
  <c r="F28" i="5" s="1"/>
  <c r="F29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<sst xmlns="http://schemas.openxmlformats.org/spreadsheetml/2006/main" count="639" uniqueCount="403">
  <si>
    <t>Système</t>
  </si>
  <si>
    <t>Module</t>
  </si>
  <si>
    <t>Hauteur bat :</t>
  </si>
  <si>
    <t>Largeur toit :</t>
  </si>
  <si>
    <t>Longueur toit :</t>
  </si>
  <si>
    <t>Couverture :</t>
  </si>
  <si>
    <t>Puissance :</t>
  </si>
  <si>
    <t>Choix :</t>
  </si>
  <si>
    <t>Couleur :</t>
  </si>
  <si>
    <t>Calepinage</t>
  </si>
  <si>
    <t>Ligne</t>
  </si>
  <si>
    <t>Colonne</t>
  </si>
  <si>
    <t>Ardoise</t>
  </si>
  <si>
    <t xml:space="preserve">Description </t>
  </si>
  <si>
    <t>Articles</t>
  </si>
  <si>
    <t>n° Article</t>
  </si>
  <si>
    <t>Prix Public</t>
  </si>
  <si>
    <t>Tuile méca</t>
  </si>
  <si>
    <t>Tuile plate</t>
  </si>
  <si>
    <t>Taille du champs</t>
  </si>
  <si>
    <t>Hauteur :</t>
  </si>
  <si>
    <t>Largeur :</t>
  </si>
  <si>
    <t>Crochets compatibles</t>
  </si>
  <si>
    <t>x</t>
  </si>
  <si>
    <t>Fibrociment</t>
  </si>
  <si>
    <t>Domaine d'emploi</t>
  </si>
  <si>
    <t>Pente min</t>
  </si>
  <si>
    <t>Pente max</t>
  </si>
  <si>
    <t>Rampant max</t>
  </si>
  <si>
    <t>Zone 1</t>
  </si>
  <si>
    <t>Zone 2</t>
  </si>
  <si>
    <t>Zone 3</t>
  </si>
  <si>
    <t>max : 25 m</t>
  </si>
  <si>
    <t>Epaisseur :</t>
  </si>
  <si>
    <t>Couleurs</t>
  </si>
  <si>
    <t>Alu</t>
  </si>
  <si>
    <t>Rails</t>
  </si>
  <si>
    <t>Mode pose</t>
  </si>
  <si>
    <t>Portrait - Rail horizontal</t>
  </si>
  <si>
    <t>Paysage - Rail horizontal</t>
  </si>
  <si>
    <t>Paysage - Rail Croisé</t>
  </si>
  <si>
    <t>Paysage - Rail vertical</t>
  </si>
  <si>
    <t>Composants :</t>
  </si>
  <si>
    <t>Messages d'erreur</t>
  </si>
  <si>
    <t>Hauteur champs</t>
  </si>
  <si>
    <t>Hors zone autorisée</t>
  </si>
  <si>
    <t xml:space="preserve">Calculs </t>
  </si>
  <si>
    <t>Hauteur champs PV</t>
  </si>
  <si>
    <t>Largeur champs</t>
  </si>
  <si>
    <t>Options</t>
  </si>
  <si>
    <t>Tuile méca TMH</t>
  </si>
  <si>
    <t>Crochets</t>
  </si>
  <si>
    <t>Reste rail</t>
  </si>
  <si>
    <t>Largeur  champs PV</t>
  </si>
  <si>
    <t>Type de charpente :</t>
  </si>
  <si>
    <t>Entraxe chevrons :</t>
  </si>
  <si>
    <t>Entraxe pannes :</t>
  </si>
  <si>
    <t>Entraxe panne</t>
  </si>
  <si>
    <t>Traditionnelle bois</t>
  </si>
  <si>
    <t>longueur dernier rail</t>
  </si>
  <si>
    <t>longueur a-dernier rail</t>
  </si>
  <si>
    <t>Quantité</t>
  </si>
  <si>
    <t>longueur utile</t>
  </si>
  <si>
    <t>Conditions</t>
  </si>
  <si>
    <t>Espacement faitage</t>
  </si>
  <si>
    <t>Espacement rives</t>
  </si>
  <si>
    <t>Port-à-faux rail max</t>
  </si>
  <si>
    <t>débord rail/crochet</t>
  </si>
  <si>
    <t>Correction</t>
  </si>
  <si>
    <t>interligne</t>
  </si>
  <si>
    <t>largeur bride inter</t>
  </si>
  <si>
    <t>entraxe chevron / débord de rail</t>
  </si>
  <si>
    <t>Inter-rail</t>
  </si>
  <si>
    <t>Débord de rail/module</t>
  </si>
  <si>
    <t>Bridage panneaux</t>
  </si>
  <si>
    <t>Description</t>
  </si>
  <si>
    <t>n° article</t>
  </si>
  <si>
    <t>Débord rail/bride</t>
  </si>
  <si>
    <t>Rail</t>
  </si>
  <si>
    <t>porte à faux rail th</t>
  </si>
  <si>
    <t>Rail croisé</t>
  </si>
  <si>
    <t>Connecteur rail croisé</t>
  </si>
  <si>
    <t>Bâtiment</t>
  </si>
  <si>
    <t>CONFIGURATEUR</t>
  </si>
  <si>
    <t>Prix remisé</t>
  </si>
  <si>
    <t>Multiplicateur rail</t>
  </si>
  <si>
    <t>Nombre de rail / u</t>
  </si>
  <si>
    <t>Nombre de rail</t>
  </si>
  <si>
    <t>Rail croisé / u</t>
  </si>
  <si>
    <t>Multipl rail croisé</t>
  </si>
  <si>
    <t>Raccord de rail</t>
  </si>
  <si>
    <t>Raccord rail c. / u</t>
  </si>
  <si>
    <t>Raccord rail croisé</t>
  </si>
  <si>
    <t>Reste rail croisé</t>
  </si>
  <si>
    <t>longueur dernier rail c</t>
  </si>
  <si>
    <t>longueur a-dernier rail c</t>
  </si>
  <si>
    <t>Raccord de rail /u</t>
  </si>
  <si>
    <t>Largeur utile champs</t>
  </si>
  <si>
    <t>Crochets /u</t>
  </si>
  <si>
    <t>Rails Black 3500 mm 36.5x H50 mm V3 - IZIPV</t>
  </si>
  <si>
    <t>380070 V3</t>
  </si>
  <si>
    <t>Fixations Black Inter V3 - IZIPV</t>
  </si>
  <si>
    <t>Fixations Black Exter V3 - IZIPV</t>
  </si>
  <si>
    <t>Vis à bois 6*80 (l unité) V3 - IZIPV</t>
  </si>
  <si>
    <t>380015 V3</t>
  </si>
  <si>
    <t>Fin de Rails Black - IZIPV</t>
  </si>
  <si>
    <t>Terragrif Domos</t>
  </si>
  <si>
    <t>QCC V3 - IZIPV</t>
  </si>
  <si>
    <t>380063 V3</t>
  </si>
  <si>
    <t>Black</t>
  </si>
  <si>
    <t>Rails Black 2400 mm 36.5x H50 mm V3 - IZIPV</t>
  </si>
  <si>
    <t>Condition 1</t>
  </si>
  <si>
    <t>Cumul conditions</t>
  </si>
  <si>
    <t>Condition 2</t>
  </si>
  <si>
    <t>raccord</t>
  </si>
  <si>
    <t>Condition 3</t>
  </si>
  <si>
    <t>Rails Alu 2400 mm 36.5x H50 mm V3 - IZIPV</t>
  </si>
  <si>
    <t>Rails Alu 3500 mm 36.5x H50 mm V3 - IZIPV</t>
  </si>
  <si>
    <t>Fixations Alu Exter V3 - IZIPV</t>
  </si>
  <si>
    <t>Fixations Alu Inter V3 - IZIPV</t>
  </si>
  <si>
    <t>Bride</t>
  </si>
  <si>
    <t>Crochet</t>
  </si>
  <si>
    <t>380062 V3</t>
  </si>
  <si>
    <t>380061 V3</t>
  </si>
  <si>
    <t>Fin de Rails Silver - IZIPV</t>
  </si>
  <si>
    <t>Crochet ardoises</t>
  </si>
  <si>
    <t>Goujon métal</t>
  </si>
  <si>
    <t>Cross rail connector</t>
  </si>
  <si>
    <t>Crochet standard réglable V3</t>
  </si>
  <si>
    <t>Validé sous ETN n° A.21.05723</t>
  </si>
  <si>
    <t>Choix couv</t>
  </si>
  <si>
    <t>Rails &amp; co</t>
  </si>
  <si>
    <t>Brides</t>
  </si>
  <si>
    <t>Accessoires</t>
  </si>
  <si>
    <t>Bouchon</t>
  </si>
  <si>
    <t xml:space="preserve"> </t>
  </si>
  <si>
    <t>Nb bride exter</t>
  </si>
  <si>
    <t>Nb bride inter</t>
  </si>
  <si>
    <t>Client :</t>
  </si>
  <si>
    <t>Adresse :</t>
  </si>
  <si>
    <t>Qté</t>
  </si>
  <si>
    <t>Total (H.T.)=</t>
  </si>
  <si>
    <t>T.V.A. (20%)=</t>
  </si>
  <si>
    <t>Total (T.T.C)=</t>
  </si>
  <si>
    <t>Livraison :</t>
  </si>
  <si>
    <t xml:space="preserve">Remise Client : </t>
  </si>
  <si>
    <t>Module :</t>
  </si>
  <si>
    <t>Calepinage :</t>
  </si>
  <si>
    <t>Installation :</t>
  </si>
  <si>
    <t>Tire-fond M10*200 V3 - IZIPV</t>
  </si>
  <si>
    <t>380073 V3</t>
  </si>
  <si>
    <t>Crochets Standard TMH V3 - IZIPV</t>
  </si>
  <si>
    <t xml:space="preserve">Crochets tuiles Plates 90° V3 - IZIPV </t>
  </si>
  <si>
    <t>Etapes de calcul</t>
  </si>
  <si>
    <t>Dimensions modules, lignes, colonnes</t>
  </si>
  <si>
    <t>Dimensions batiment, entraxe, pente</t>
  </si>
  <si>
    <t>Calcul taille du champs PV</t>
  </si>
  <si>
    <t>Fin</t>
  </si>
  <si>
    <t>Edition Liste matériel</t>
  </si>
  <si>
    <t>Calcul nombre de rails</t>
  </si>
  <si>
    <t>Calcul de découpe derniers rails</t>
  </si>
  <si>
    <t>Calcul raccord de rail</t>
  </si>
  <si>
    <t>Calcul du nombre de crochets</t>
  </si>
  <si>
    <t>Sch=0,4m ; K2= ? ; Ren = 0,2m</t>
  </si>
  <si>
    <t>Entraxe Crochet Max</t>
  </si>
  <si>
    <t>Fixation micro-onduleur</t>
  </si>
  <si>
    <t>Mode :</t>
  </si>
  <si>
    <t>Ligne :</t>
  </si>
  <si>
    <t>Colonne :</t>
  </si>
  <si>
    <t>Micro-onduleur :</t>
  </si>
  <si>
    <t>380016 V3</t>
  </si>
  <si>
    <t>Micro onduleur</t>
  </si>
  <si>
    <t>Fixations par côté :</t>
  </si>
  <si>
    <t>Long. Rail :</t>
  </si>
  <si>
    <t>Pente :</t>
  </si>
  <si>
    <t>Duo</t>
  </si>
  <si>
    <t>Mono</t>
  </si>
  <si>
    <t>Pas de micro</t>
  </si>
  <si>
    <t>380071_V3</t>
  </si>
  <si>
    <t>380074_V3</t>
  </si>
  <si>
    <t>380022_V3</t>
  </si>
  <si>
    <t>380064_V3</t>
  </si>
  <si>
    <t>380021_V3</t>
  </si>
  <si>
    <t>380068 V3</t>
  </si>
  <si>
    <t>380067 V3</t>
  </si>
  <si>
    <t>Localisation</t>
  </si>
  <si>
    <t>Zone de vent :</t>
  </si>
  <si>
    <t>Zone de neige :</t>
  </si>
  <si>
    <t>Données climatiques</t>
  </si>
  <si>
    <t>Zone de toit</t>
  </si>
  <si>
    <t>Centre</t>
  </si>
  <si>
    <t>Rive</t>
  </si>
  <si>
    <t>Angle</t>
  </si>
  <si>
    <t>Site</t>
  </si>
  <si>
    <t>Valeurs Limites</t>
  </si>
  <si>
    <t>vent</t>
  </si>
  <si>
    <t>Neige</t>
  </si>
  <si>
    <t>Altitude :</t>
  </si>
  <si>
    <t>Portrait</t>
  </si>
  <si>
    <t>Monopan</t>
  </si>
  <si>
    <t>Paysage</t>
  </si>
  <si>
    <t>Bipan</t>
  </si>
  <si>
    <t>Lenght</t>
  </si>
  <si>
    <t>m</t>
  </si>
  <si>
    <t>Height</t>
  </si>
  <si>
    <t xml:space="preserve">Width </t>
  </si>
  <si>
    <t>Roof type :</t>
  </si>
  <si>
    <t>France (NF EN 1991-1-4/NA : 2008)</t>
  </si>
  <si>
    <t>DOM (NF EN 1991-1-4/NA : 2008)</t>
  </si>
  <si>
    <t>Roof pitch :</t>
  </si>
  <si>
    <t>°</t>
  </si>
  <si>
    <t>Wind Zone</t>
  </si>
  <si>
    <t>Guadeloupe</t>
  </si>
  <si>
    <t>Guyane</t>
  </si>
  <si>
    <t>Martinique</t>
  </si>
  <si>
    <t>Réunion</t>
  </si>
  <si>
    <t>Roof zone :</t>
  </si>
  <si>
    <r>
      <t>V</t>
    </r>
    <r>
      <rPr>
        <vertAlign val="subscript"/>
        <sz val="11"/>
        <color theme="1"/>
        <rFont val="Calibri"/>
        <family val="2"/>
        <scheme val="minor"/>
      </rPr>
      <t xml:space="preserve">b,0 </t>
    </r>
    <r>
      <rPr>
        <sz val="11"/>
        <color theme="1"/>
        <rFont val="Calibri"/>
        <family val="2"/>
        <scheme val="minor"/>
      </rPr>
      <t>(m/s)</t>
    </r>
  </si>
  <si>
    <t>Module Area :</t>
  </si>
  <si>
    <t>m²</t>
  </si>
  <si>
    <t>Aire d'une voiture:</t>
  </si>
  <si>
    <t>Formulaire:</t>
  </si>
  <si>
    <t>Canopy Roofs</t>
  </si>
  <si>
    <t>Monopitch Roof</t>
  </si>
  <si>
    <t>Duopitch Roof</t>
  </si>
  <si>
    <r>
      <t>External pressure coefficients for monopitch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</si>
  <si>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</si>
  <si>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Pitch angle </t>
    </r>
    <r>
      <rPr>
        <sz val="12"/>
        <color theme="1"/>
        <rFont val="Calibri"/>
        <family val="2"/>
      </rPr>
      <t>α</t>
    </r>
  </si>
  <si>
    <r>
      <t xml:space="preserve">Obstruction </t>
    </r>
    <r>
      <rPr>
        <sz val="12"/>
        <color theme="1"/>
        <rFont val="Calibri"/>
        <family val="2"/>
      </rPr>
      <t>ϕ</t>
    </r>
  </si>
  <si>
    <r>
      <t>C</t>
    </r>
    <r>
      <rPr>
        <vertAlign val="subscript"/>
        <sz val="16"/>
        <color theme="1"/>
        <rFont val="Calibri"/>
        <family val="2"/>
        <scheme val="minor"/>
      </rPr>
      <t>f</t>
    </r>
  </si>
  <si>
    <r>
      <t>Coefficients de pression nette c</t>
    </r>
    <r>
      <rPr>
        <vertAlign val="subscript"/>
        <sz val="11"/>
        <color theme="1"/>
        <rFont val="Calibri"/>
        <family val="2"/>
        <scheme val="minor"/>
      </rPr>
      <t>p,net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</si>
  <si>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</si>
  <si>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=0°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</si>
  <si>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=180°</t>
    </r>
  </si>
  <si>
    <t>A</t>
  </si>
  <si>
    <t>B</t>
  </si>
  <si>
    <t>C</t>
  </si>
  <si>
    <t>F</t>
  </si>
  <si>
    <t>G</t>
  </si>
  <si>
    <t>H</t>
  </si>
  <si>
    <t>I</t>
  </si>
  <si>
    <t>J</t>
  </si>
  <si>
    <t>Max</t>
  </si>
  <si>
    <t>Min ϕ=0</t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</si>
  <si>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pe,10</t>
    </r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</si>
  <si>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</t>
    </r>
  </si>
  <si>
    <t>Min ϕ=1</t>
  </si>
  <si>
    <t>ϕ</t>
  </si>
  <si>
    <t xml:space="preserve">ϕ </t>
  </si>
  <si>
    <t>neg</t>
  </si>
  <si>
    <t>pos</t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</si>
  <si>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=90°</t>
    </r>
  </si>
  <si>
    <t>Fup</t>
  </si>
  <si>
    <t>Flow</t>
  </si>
  <si>
    <t>Pos.</t>
  </si>
  <si>
    <t>Nég.</t>
  </si>
  <si>
    <t>Catégorie de terrain</t>
  </si>
  <si>
    <t>II</t>
  </si>
  <si>
    <t>IIIa</t>
  </si>
  <si>
    <t>IIIb</t>
  </si>
  <si>
    <t>IV</t>
  </si>
  <si>
    <t>Z0</t>
  </si>
  <si>
    <t>Zmin</t>
  </si>
  <si>
    <t>Roughness factor :</t>
  </si>
  <si>
    <r>
      <rPr>
        <b/>
        <sz val="12"/>
        <color theme="1"/>
        <rFont val="Calibri"/>
        <family val="2"/>
        <scheme val="minor"/>
      </rPr>
      <t>c</t>
    </r>
    <r>
      <rPr>
        <b/>
        <vertAlign val="subscript"/>
        <sz val="12"/>
        <color theme="1"/>
        <rFont val="Calibri"/>
        <family val="2"/>
        <scheme val="minor"/>
      </rPr>
      <t>r</t>
    </r>
    <r>
      <rPr>
        <b/>
        <sz val="12"/>
        <color theme="1"/>
        <rFont val="Calibri"/>
        <family val="2"/>
        <scheme val="minor"/>
      </rPr>
      <t>(z)</t>
    </r>
  </si>
  <si>
    <t>Terrain category :</t>
  </si>
  <si>
    <r>
      <t>k</t>
    </r>
    <r>
      <rPr>
        <vertAlign val="subscript"/>
        <sz val="14"/>
        <color theme="1"/>
        <rFont val="Calibri"/>
        <family val="2"/>
        <scheme val="minor"/>
      </rPr>
      <t>I</t>
    </r>
    <r>
      <rPr>
        <sz val="14"/>
        <color theme="1"/>
        <rFont val="Calibri"/>
        <family val="2"/>
        <scheme val="minor"/>
      </rPr>
      <t>=</t>
    </r>
  </si>
  <si>
    <t>z =</t>
  </si>
  <si>
    <r>
      <t>z</t>
    </r>
    <r>
      <rPr>
        <vertAlign val="sub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>=</t>
    </r>
  </si>
  <si>
    <r>
      <t>z</t>
    </r>
    <r>
      <rPr>
        <vertAlign val="subscript"/>
        <sz val="14"/>
        <color theme="1"/>
        <rFont val="Calibri"/>
        <family val="2"/>
        <scheme val="minor"/>
      </rPr>
      <t>min</t>
    </r>
    <r>
      <rPr>
        <sz val="14"/>
        <color theme="1"/>
        <rFont val="Calibri"/>
        <family val="2"/>
        <scheme val="minor"/>
      </rPr>
      <t>=</t>
    </r>
  </si>
  <si>
    <r>
      <t>k</t>
    </r>
    <r>
      <rPr>
        <vertAlign val="subscript"/>
        <sz val="14"/>
        <color theme="1"/>
        <rFont val="Calibri"/>
        <family val="2"/>
        <scheme val="minor"/>
      </rPr>
      <t>r</t>
    </r>
    <r>
      <rPr>
        <sz val="14"/>
        <color theme="1"/>
        <rFont val="Calibri"/>
        <family val="2"/>
        <scheme val="minor"/>
      </rPr>
      <t>=</t>
    </r>
  </si>
  <si>
    <t>Angle Sup</t>
  </si>
  <si>
    <t>Faitage</t>
  </si>
  <si>
    <t>Egout</t>
  </si>
  <si>
    <t>Catégorie de terrain :</t>
  </si>
  <si>
    <t xml:space="preserve">zone vent : </t>
  </si>
  <si>
    <t xml:space="preserve">cat: </t>
  </si>
  <si>
    <t>hauteur bat</t>
  </si>
  <si>
    <t>Cr(z) =</t>
  </si>
  <si>
    <t>Iv(z) =</t>
  </si>
  <si>
    <t>Vm(z) =</t>
  </si>
  <si>
    <t>m/s</t>
  </si>
  <si>
    <t>ρ=</t>
  </si>
  <si>
    <t>qp(z) =</t>
  </si>
  <si>
    <t>N/m²</t>
  </si>
  <si>
    <t>Angle inf.</t>
  </si>
  <si>
    <t>Angles Sup.</t>
  </si>
  <si>
    <t>qb=</t>
  </si>
  <si>
    <t>Ce(z) =</t>
  </si>
  <si>
    <t>Forme de toit :</t>
  </si>
  <si>
    <t>e/10</t>
  </si>
  <si>
    <t>e/4</t>
  </si>
  <si>
    <t>Angle Inf</t>
  </si>
  <si>
    <t>centre long</t>
  </si>
  <si>
    <t>égout long</t>
  </si>
  <si>
    <t>centre haut BP</t>
  </si>
  <si>
    <t>centre haut MP</t>
  </si>
  <si>
    <t>Poids :</t>
  </si>
  <si>
    <t>Cpe+</t>
  </si>
  <si>
    <t>Cpe-</t>
  </si>
  <si>
    <t>égout</t>
  </si>
  <si>
    <t xml:space="preserve">Vérification </t>
  </si>
  <si>
    <t xml:space="preserve">Etrier </t>
  </si>
  <si>
    <t>Vis</t>
  </si>
  <si>
    <t>we+</t>
  </si>
  <si>
    <t>we-</t>
  </si>
  <si>
    <t>entrax 1</t>
  </si>
  <si>
    <t>entrax 3</t>
  </si>
  <si>
    <t>entrax 2</t>
  </si>
  <si>
    <t>Résistance</t>
  </si>
  <si>
    <t>Element</t>
  </si>
  <si>
    <t>Config</t>
  </si>
  <si>
    <t>Inter</t>
  </si>
  <si>
    <t>Exter</t>
  </si>
  <si>
    <t>Limite de contrainte du rail :</t>
  </si>
  <si>
    <t>Entraxe</t>
  </si>
  <si>
    <t xml:space="preserve">Essais </t>
  </si>
  <si>
    <t>RDM 6</t>
  </si>
  <si>
    <t>Moment inertie :</t>
  </si>
  <si>
    <t>Fibre :</t>
  </si>
  <si>
    <t>mm</t>
  </si>
  <si>
    <t>mm4</t>
  </si>
  <si>
    <t>Mpa</t>
  </si>
  <si>
    <t>Force</t>
  </si>
  <si>
    <t>Coef de sécu :</t>
  </si>
  <si>
    <t>ELU CC3</t>
  </si>
  <si>
    <t>Etriers</t>
  </si>
  <si>
    <t>Vis / Crochet</t>
  </si>
  <si>
    <t>PERGOLA Dimensions</t>
  </si>
  <si>
    <t>Espacement crochet</t>
  </si>
  <si>
    <t>nb étrier</t>
  </si>
  <si>
    <t>nb vis</t>
  </si>
  <si>
    <t>Zones toiture MONOPAN</t>
  </si>
  <si>
    <t>Zones toiture BIPAN</t>
  </si>
  <si>
    <t xml:space="preserve">Snow zones </t>
  </si>
  <si>
    <t>Sk</t>
  </si>
  <si>
    <t>Sad</t>
  </si>
  <si>
    <t>A1</t>
  </si>
  <si>
    <t>A2</t>
  </si>
  <si>
    <t>B1</t>
  </si>
  <si>
    <t>B2</t>
  </si>
  <si>
    <t>C1</t>
  </si>
  <si>
    <t>C2</t>
  </si>
  <si>
    <t>D</t>
  </si>
  <si>
    <t>E</t>
  </si>
  <si>
    <r>
      <t>μ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</si>
  <si>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</si>
  <si>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Calibri"/>
        <family val="2"/>
        <scheme val="minor"/>
      </rPr>
      <t>=</t>
    </r>
  </si>
  <si>
    <t>Sk,200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</si>
  <si>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S1</t>
    </r>
  </si>
  <si>
    <t>CC1</t>
  </si>
  <si>
    <t>CC2</t>
  </si>
  <si>
    <t>CC3</t>
  </si>
  <si>
    <t xml:space="preserve">Sn = </t>
  </si>
  <si>
    <t xml:space="preserve">Sn,proj = </t>
  </si>
  <si>
    <t xml:space="preserve">Snad = </t>
  </si>
  <si>
    <t xml:space="preserve">Snad,proj = </t>
  </si>
  <si>
    <t xml:space="preserve">Sp,n = </t>
  </si>
  <si>
    <t>Sg,n =</t>
  </si>
  <si>
    <t xml:space="preserve">Sp,ad = </t>
  </si>
  <si>
    <t>Sg,ad =</t>
  </si>
  <si>
    <t>1,35.G + 1,5.(Sn+0,6.W+)</t>
  </si>
  <si>
    <t>1,35.G + 1,5.(0,5.Sn+W+)</t>
  </si>
  <si>
    <t>Quadro</t>
  </si>
  <si>
    <t>Trio</t>
  </si>
  <si>
    <t>entrax 4</t>
  </si>
  <si>
    <t>0,9.G + 1,5.W-</t>
  </si>
  <si>
    <t>ELU CC2</t>
  </si>
  <si>
    <t>ELU CC1</t>
  </si>
  <si>
    <t>G parallèle :</t>
  </si>
  <si>
    <t>G droit :</t>
  </si>
  <si>
    <t>G :</t>
  </si>
  <si>
    <t>Sn :</t>
  </si>
  <si>
    <t>Sn p,parallèle:</t>
  </si>
  <si>
    <t>Sn p,droit:</t>
  </si>
  <si>
    <t>Entraxe Crochets</t>
  </si>
  <si>
    <t>OUI</t>
  </si>
  <si>
    <t>NON</t>
  </si>
  <si>
    <t xml:space="preserve">Zone de toit </t>
  </si>
  <si>
    <t>Entraxe crochets</t>
  </si>
  <si>
    <t>Vis/crochet</t>
  </si>
  <si>
    <t>Espacement</t>
  </si>
  <si>
    <t xml:space="preserve">Pour information : Notes de calculs théoriques pour chaque zone </t>
  </si>
  <si>
    <t>Implantation Champs PV</t>
  </si>
  <si>
    <t>VENT</t>
  </si>
  <si>
    <t>NEIGE</t>
  </si>
  <si>
    <t>Catégories de terrain</t>
  </si>
  <si>
    <t>nb fixation/micro</t>
  </si>
  <si>
    <t>nb module/micro</t>
  </si>
  <si>
    <t xml:space="preserve">Type de panne : </t>
  </si>
  <si>
    <t>Type de panne</t>
  </si>
  <si>
    <t>Bois</t>
  </si>
  <si>
    <t>Métal</t>
  </si>
  <si>
    <t xml:space="preserve">Surcharge </t>
  </si>
  <si>
    <t>Surcharge</t>
  </si>
  <si>
    <t>Entraxe Crochet Min</t>
  </si>
  <si>
    <t>Rails Alu 1200 mm 36.5x H50 mm V3 - IZIPV</t>
  </si>
  <si>
    <t>Rails Black 1200 mm 36.5x H50 mm V3 - IZIPV</t>
  </si>
  <si>
    <t>Methode 1 :</t>
  </si>
  <si>
    <t>Methode 2 :</t>
  </si>
  <si>
    <r>
      <t xml:space="preserve">Pression dynamique de </t>
    </r>
    <r>
      <rPr>
        <b/>
        <sz val="14"/>
        <color theme="1"/>
        <rFont val="Calibri"/>
        <family val="2"/>
        <scheme val="minor"/>
      </rPr>
      <t>pointe</t>
    </r>
  </si>
  <si>
    <t>Distributeur :</t>
  </si>
  <si>
    <t>(si différente)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</si>
</sst>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* #,##0.00\ &quot;€&quot;_-;\-* #,##0.00\ &quot;€&quot;_-;_-* &quot;-&quot;??\ &quot;€&quot;_-;_-@_-"/>
    <numFmt numFmtId="164" formatCode="0&quot; m&quot;"/>
    <numFmt numFmtId="165" formatCode="0.0&quot;°&quot;"/>
    <numFmt numFmtId="166" formatCode="0.00000000&quot;°&quot;"/>
    <numFmt numFmtId="167" formatCode="0.0&quot;m&quot;"/>
    <numFmt numFmtId="168" formatCode="0&quot;%&quot;"/>
    <numFmt numFmtId="169" formatCode="0.00&quot; m&quot;"/>
    <numFmt numFmtId="170" formatCode="0&quot; mm&quot;"/>
    <numFmt numFmtId="171" formatCode="0&quot; Wc&quot;"/>
    <numFmt numFmtId="172" formatCode="0&quot; m&quot;;&quot;0 m&quot;"/>
    <numFmt numFmtId="173" formatCode="0&quot; mm&quot;;&quot;0 mm&quot;;0&quot; mm&quot;"/>
    <numFmt numFmtId="174" formatCode="0&quot; Pa&quot;"/>
    <numFmt numFmtId="175" formatCode="0.0"/>
    <numFmt numFmtId="176" formatCode="0.0000"/>
    <numFmt numFmtId="177" formatCode="#,##0.0&quot;m&quot;"/>
    <numFmt numFmtId="178" formatCode="0.0&quot; m&quot;;&quot;0 m&quot;"/>
    <numFmt numFmtId="179" formatCode="0&quot; kg&quot;"/>
    <numFmt numFmtId="180" formatCode="0.000"/>
    <numFmt numFmtId="181" formatCode="0.000&quot; kN/m²&quot;"/>
    <numFmt numFmtId="182" formatCode="0&quot; N&quot;"/>
    <numFmt numFmtId="183" formatCode="&quot;1 chevron sur &quot;0"/>
  </numFmts>
  <fonts count="48" x14ac:knownFonts="1"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8"/>
      <color theme="1" tint="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4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7030A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00206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/>
      <right style="thin">
        <color rgb="FF002060"/>
      </right>
      <top style="hair">
        <color indexed="64"/>
      </top>
      <bottom style="hair">
        <color indexed="64"/>
      </bottom>
      <diagonal/>
    </border>
    <border>
      <left/>
      <right style="thin">
        <color rgb="FF002060"/>
      </right>
      <top/>
      <bottom style="hair">
        <color indexed="64"/>
      </bottom>
      <diagonal/>
    </border>
    <border>
      <left/>
      <right style="thin">
        <color indexed="64"/>
      </right>
      <top style="medium">
        <color rgb="FF002060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00206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thin">
        <color rgb="FF002060"/>
      </right>
      <top style="medium">
        <color rgb="FF002060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1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2" fontId="0" fillId="0" borderId="1" xfId="0" applyNumberFormat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0" borderId="11" xfId="0" applyBorder="1" applyAlignment="1">
      <alignment horizontal="center" vertical="center"/>
    </xf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165" fontId="0" fillId="4" borderId="15" xfId="0" applyNumberFormat="1" applyFill="1" applyBorder="1"/>
    <xf numFmtId="165" fontId="0" fillId="4" borderId="16" xfId="0" applyNumberFormat="1" applyFill="1" applyBorder="1"/>
    <xf numFmtId="167" fontId="0" fillId="4" borderId="17" xfId="0" applyNumberFormat="1" applyFill="1" applyBorder="1"/>
    <xf numFmtId="165" fontId="0" fillId="0" borderId="4" xfId="0" applyNumberFormat="1" applyBorder="1"/>
    <xf numFmtId="165" fontId="0" fillId="0" borderId="7" xfId="0" applyNumberFormat="1" applyBorder="1"/>
    <xf numFmtId="165" fontId="0" fillId="0" borderId="10" xfId="0" applyNumberFormat="1" applyBorder="1"/>
    <xf numFmtId="165" fontId="0" fillId="0" borderId="2" xfId="0" applyNumberFormat="1" applyBorder="1"/>
    <xf numFmtId="165" fontId="0" fillId="0" borderId="5" xfId="0" applyNumberFormat="1" applyBorder="1"/>
    <xf numFmtId="165" fontId="0" fillId="0" borderId="8" xfId="0" applyNumberFormat="1" applyBorder="1"/>
    <xf numFmtId="168" fontId="0" fillId="6" borderId="2" xfId="0" applyNumberFormat="1" applyFill="1" applyBorder="1" applyAlignment="1">
      <alignment horizontal="center" vertical="center"/>
    </xf>
    <xf numFmtId="168" fontId="0" fillId="6" borderId="22" xfId="0" applyNumberFormat="1" applyFill="1" applyBorder="1" applyAlignment="1">
      <alignment horizontal="center" vertical="center"/>
    </xf>
    <xf numFmtId="168" fontId="0" fillId="6" borderId="5" xfId="0" applyNumberFormat="1" applyFill="1" applyBorder="1" applyAlignment="1">
      <alignment horizontal="center" vertical="center"/>
    </xf>
    <xf numFmtId="168" fontId="0" fillId="6" borderId="23" xfId="0" applyNumberFormat="1" applyFill="1" applyBorder="1" applyAlignment="1">
      <alignment horizontal="center" vertical="center"/>
    </xf>
    <xf numFmtId="168" fontId="0" fillId="6" borderId="8" xfId="0" applyNumberFormat="1" applyFill="1" applyBorder="1" applyAlignment="1">
      <alignment horizontal="center" vertical="center"/>
    </xf>
    <xf numFmtId="168" fontId="0" fillId="6" borderId="24" xfId="0" applyNumberFormat="1" applyFill="1" applyBorder="1"/>
    <xf numFmtId="0" fontId="0" fillId="0" borderId="1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169" fontId="0" fillId="0" borderId="0" xfId="0" applyNumberFormat="1" applyAlignment="1">
      <alignment horizontal="center"/>
    </xf>
    <xf numFmtId="167" fontId="0" fillId="4" borderId="0" xfId="0" applyNumberFormat="1" applyFill="1"/>
    <xf numFmtId="170" fontId="0" fillId="4" borderId="17" xfId="0" applyNumberFormat="1" applyFill="1" applyBorder="1"/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170" fontId="0" fillId="5" borderId="15" xfId="0" applyNumberFormat="1" applyFill="1" applyBorder="1" applyAlignment="1">
      <alignment horizontal="right"/>
    </xf>
    <xf numFmtId="170" fontId="0" fillId="5" borderId="16" xfId="0" applyNumberFormat="1" applyFill="1" applyBorder="1" applyAlignment="1">
      <alignment horizontal="right"/>
    </xf>
    <xf numFmtId="170" fontId="0" fillId="0" borderId="16" xfId="0" applyNumberFormat="1" applyBorder="1"/>
    <xf numFmtId="170" fontId="0" fillId="0" borderId="17" xfId="0" applyNumberFormat="1" applyBorder="1"/>
    <xf numFmtId="0" fontId="0" fillId="6" borderId="0" xfId="0" applyFill="1" applyAlignment="1">
      <alignment horizontal="left" vertical="center"/>
    </xf>
    <xf numFmtId="169" fontId="0" fillId="6" borderId="0" xfId="0" applyNumberFormat="1" applyFill="1" applyAlignment="1">
      <alignment horizontal="left"/>
    </xf>
    <xf numFmtId="0" fontId="0" fillId="6" borderId="0" xfId="0" applyFill="1"/>
    <xf numFmtId="0" fontId="6" fillId="0" borderId="0" xfId="1" applyBorder="1"/>
    <xf numFmtId="0" fontId="6" fillId="0" borderId="0" xfId="1"/>
    <xf numFmtId="0" fontId="0" fillId="0" borderId="15" xfId="0" applyBorder="1"/>
    <xf numFmtId="0" fontId="0" fillId="0" borderId="27" xfId="0" applyBorder="1"/>
    <xf numFmtId="0" fontId="0" fillId="0" borderId="16" xfId="0" applyBorder="1"/>
    <xf numFmtId="0" fontId="0" fillId="0" borderId="30" xfId="0" applyBorder="1"/>
    <xf numFmtId="0" fontId="0" fillId="0" borderId="32" xfId="0" applyBorder="1"/>
    <xf numFmtId="0" fontId="0" fillId="0" borderId="17" xfId="0" applyBorder="1"/>
    <xf numFmtId="0" fontId="7" fillId="0" borderId="0" xfId="0" applyFont="1"/>
    <xf numFmtId="164" fontId="7" fillId="0" borderId="0" xfId="0" applyNumberFormat="1" applyFont="1"/>
    <xf numFmtId="166" fontId="7" fillId="0" borderId="0" xfId="0" applyNumberFormat="1" applyFont="1"/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0" fillId="5" borderId="30" xfId="0" applyFill="1" applyBorder="1"/>
    <xf numFmtId="170" fontId="0" fillId="0" borderId="30" xfId="0" applyNumberFormat="1" applyBorder="1"/>
    <xf numFmtId="170" fontId="0" fillId="0" borderId="33" xfId="0" applyNumberFormat="1" applyBorder="1"/>
    <xf numFmtId="0" fontId="0" fillId="6" borderId="34" xfId="0" applyFill="1" applyBorder="1"/>
    <xf numFmtId="0" fontId="0" fillId="6" borderId="30" xfId="0" applyFill="1" applyBorder="1"/>
    <xf numFmtId="0" fontId="0" fillId="0" borderId="0" xfId="0" applyAlignment="1">
      <alignment wrapText="1"/>
    </xf>
    <xf numFmtId="0" fontId="0" fillId="5" borderId="33" xfId="0" applyFill="1" applyBorder="1"/>
    <xf numFmtId="0" fontId="0" fillId="6" borderId="30" xfId="0" applyFill="1" applyBorder="1" applyAlignment="1">
      <alignment horizontal="right" vertical="center"/>
    </xf>
    <xf numFmtId="0" fontId="0" fillId="0" borderId="14" xfId="0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0" fillId="6" borderId="16" xfId="0" applyFill="1" applyBorder="1"/>
    <xf numFmtId="0" fontId="2" fillId="0" borderId="15" xfId="0" applyFont="1" applyBorder="1"/>
    <xf numFmtId="0" fontId="2" fillId="6" borderId="16" xfId="0" applyFont="1" applyFill="1" applyBorder="1"/>
    <xf numFmtId="170" fontId="2" fillId="0" borderId="16" xfId="0" applyNumberFormat="1" applyFont="1" applyBorder="1"/>
    <xf numFmtId="0" fontId="2" fillId="0" borderId="16" xfId="0" applyFont="1" applyBorder="1"/>
    <xf numFmtId="0" fontId="2" fillId="5" borderId="16" xfId="0" applyFont="1" applyFill="1" applyBorder="1"/>
    <xf numFmtId="0" fontId="2" fillId="0" borderId="17" xfId="0" applyFont="1" applyBorder="1"/>
    <xf numFmtId="0" fontId="3" fillId="0" borderId="15" xfId="0" applyFont="1" applyBorder="1"/>
    <xf numFmtId="0" fontId="3" fillId="6" borderId="16" xfId="0" applyFont="1" applyFill="1" applyBorder="1"/>
    <xf numFmtId="170" fontId="0" fillId="0" borderId="35" xfId="0" applyNumberFormat="1" applyBorder="1"/>
    <xf numFmtId="0" fontId="2" fillId="6" borderId="35" xfId="0" applyFont="1" applyFill="1" applyBorder="1"/>
    <xf numFmtId="0" fontId="0" fillId="0" borderId="35" xfId="0" applyBorder="1"/>
    <xf numFmtId="170" fontId="2" fillId="0" borderId="17" xfId="0" applyNumberFormat="1" applyFont="1" applyBorder="1"/>
    <xf numFmtId="0" fontId="0" fillId="0" borderId="1" xfId="0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0" fillId="0" borderId="39" xfId="0" applyBorder="1" applyAlignment="1">
      <alignment horizontal="right"/>
    </xf>
    <xf numFmtId="0" fontId="0" fillId="0" borderId="41" xfId="0" applyBorder="1" applyAlignment="1">
      <alignment horizontal="right"/>
    </xf>
    <xf numFmtId="0" fontId="0" fillId="0" borderId="42" xfId="0" applyBorder="1"/>
    <xf numFmtId="0" fontId="12" fillId="0" borderId="42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25" xfId="0" applyBorder="1"/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0" fillId="0" borderId="26" xfId="0" applyBorder="1"/>
    <xf numFmtId="0" fontId="12" fillId="0" borderId="14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0" fillId="6" borderId="36" xfId="0" applyFill="1" applyBorder="1"/>
    <xf numFmtId="0" fontId="0" fillId="6" borderId="37" xfId="0" applyFill="1" applyBorder="1" applyAlignment="1">
      <alignment horizontal="center" vertical="center"/>
    </xf>
    <xf numFmtId="0" fontId="0" fillId="6" borderId="37" xfId="0" applyFill="1" applyBorder="1"/>
    <xf numFmtId="0" fontId="0" fillId="6" borderId="38" xfId="0" applyFill="1" applyBorder="1"/>
    <xf numFmtId="0" fontId="0" fillId="6" borderId="39" xfId="0" applyFill="1" applyBorder="1"/>
    <xf numFmtId="0" fontId="0" fillId="6" borderId="0" xfId="0" applyFill="1" applyAlignment="1">
      <alignment horizontal="center" vertical="center"/>
    </xf>
    <xf numFmtId="0" fontId="0" fillId="6" borderId="40" xfId="0" applyFill="1" applyBorder="1"/>
    <xf numFmtId="0" fontId="0" fillId="6" borderId="41" xfId="0" applyFill="1" applyBorder="1"/>
    <xf numFmtId="0" fontId="0" fillId="6" borderId="42" xfId="0" applyFill="1" applyBorder="1" applyAlignment="1">
      <alignment horizontal="center" vertical="center"/>
    </xf>
    <xf numFmtId="0" fontId="0" fillId="6" borderId="42" xfId="0" applyFill="1" applyBorder="1"/>
    <xf numFmtId="0" fontId="0" fillId="6" borderId="43" xfId="0" applyFill="1" applyBorder="1"/>
    <xf numFmtId="0" fontId="0" fillId="0" borderId="36" xfId="0" applyBorder="1" applyAlignment="1">
      <alignment horizontal="right"/>
    </xf>
    <xf numFmtId="0" fontId="12" fillId="0" borderId="36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7" xfId="0" applyBorder="1"/>
    <xf numFmtId="0" fontId="0" fillId="0" borderId="37" xfId="0" applyBorder="1"/>
    <xf numFmtId="170" fontId="0" fillId="2" borderId="0" xfId="0" applyNumberFormat="1" applyFill="1" applyProtection="1">
      <protection locked="0"/>
    </xf>
    <xf numFmtId="171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center" vertical="center"/>
      <protection locked="0"/>
    </xf>
    <xf numFmtId="172" fontId="0" fillId="2" borderId="0" xfId="0" applyNumberFormat="1" applyFill="1" applyProtection="1">
      <protection locked="0"/>
    </xf>
    <xf numFmtId="165" fontId="0" fillId="2" borderId="0" xfId="0" applyNumberFormat="1" applyFill="1" applyProtection="1">
      <protection locked="0"/>
    </xf>
    <xf numFmtId="0" fontId="13" fillId="0" borderId="0" xfId="0" applyFont="1"/>
    <xf numFmtId="0" fontId="14" fillId="0" borderId="0" xfId="0" applyFont="1"/>
    <xf numFmtId="0" fontId="0" fillId="0" borderId="27" xfId="0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horizontal="left" vertical="center"/>
    </xf>
    <xf numFmtId="0" fontId="0" fillId="0" borderId="32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0" xfId="0" applyAlignment="1">
      <alignment horizontal="right" vertical="center"/>
    </xf>
    <xf numFmtId="0" fontId="0" fillId="0" borderId="52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4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>
      <alignment horizontal="right"/>
    </xf>
    <xf numFmtId="44" fontId="0" fillId="0" borderId="0" xfId="2" applyFont="1" applyFill="1" applyBorder="1"/>
    <xf numFmtId="0" fontId="0" fillId="2" borderId="49" xfId="0" applyFill="1" applyBorder="1" applyProtection="1">
      <protection locked="0"/>
    </xf>
    <xf numFmtId="0" fontId="0" fillId="2" borderId="51" xfId="0" applyFill="1" applyBorder="1" applyProtection="1">
      <protection locked="0"/>
    </xf>
    <xf numFmtId="0" fontId="0" fillId="2" borderId="0" xfId="0" applyFill="1" applyProtection="1">
      <protection locked="0"/>
    </xf>
    <xf numFmtId="9" fontId="0" fillId="2" borderId="0" xfId="3" applyFont="1" applyFill="1" applyAlignment="1" applyProtection="1">
      <alignment horizontal="center" vertical="center"/>
      <protection locked="0"/>
    </xf>
    <xf numFmtId="0" fontId="0" fillId="0" borderId="40" xfId="0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18" fillId="0" borderId="0" xfId="0" applyFont="1"/>
    <xf numFmtId="0" fontId="0" fillId="0" borderId="15" xfId="0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36" xfId="0" applyBorder="1"/>
    <xf numFmtId="0" fontId="0" fillId="0" borderId="3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5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38" xfId="0" applyBorder="1"/>
    <xf numFmtId="0" fontId="0" fillId="0" borderId="40" xfId="0" applyBorder="1"/>
    <xf numFmtId="0" fontId="0" fillId="0" borderId="0" xfId="0" applyAlignment="1">
      <alignment horizontal="right" vertical="top"/>
    </xf>
    <xf numFmtId="0" fontId="5" fillId="0" borderId="0" xfId="0" applyFont="1" applyAlignment="1">
      <alignment vertical="center"/>
    </xf>
    <xf numFmtId="173" fontId="5" fillId="7" borderId="0" xfId="0" applyNumberFormat="1" applyFont="1" applyFill="1"/>
    <xf numFmtId="0" fontId="0" fillId="2" borderId="37" xfId="0" applyFill="1" applyBorder="1" applyProtection="1">
      <protection locked="0"/>
    </xf>
    <xf numFmtId="0" fontId="0" fillId="6" borderId="39" xfId="0" applyFill="1" applyBorder="1" applyAlignment="1">
      <alignment vertical="center"/>
    </xf>
    <xf numFmtId="0" fontId="0" fillId="6" borderId="41" xfId="0" applyFill="1" applyBorder="1" applyAlignment="1">
      <alignment vertical="center"/>
    </xf>
    <xf numFmtId="0" fontId="0" fillId="6" borderId="40" xfId="0" applyFill="1" applyBorder="1" applyAlignment="1">
      <alignment vertical="center"/>
    </xf>
    <xf numFmtId="0" fontId="0" fillId="0" borderId="39" xfId="0" applyBorder="1" applyAlignment="1">
      <alignment horizontal="right" vertical="center"/>
    </xf>
    <xf numFmtId="0" fontId="0" fillId="0" borderId="34" xfId="0" applyBorder="1" applyAlignment="1">
      <alignment horizontal="right" vertical="center"/>
    </xf>
    <xf numFmtId="0" fontId="0" fillId="0" borderId="47" xfId="0" applyBorder="1" applyAlignment="1">
      <alignment vertical="center"/>
    </xf>
    <xf numFmtId="0" fontId="0" fillId="6" borderId="42" xfId="0" applyFill="1" applyBorder="1" applyAlignment="1">
      <alignment vertical="center"/>
    </xf>
    <xf numFmtId="0" fontId="0" fillId="0" borderId="41" xfId="0" applyBorder="1" applyAlignment="1">
      <alignment horizontal="right" vertical="center"/>
    </xf>
    <xf numFmtId="0" fontId="0" fillId="0" borderId="42" xfId="0" applyBorder="1" applyAlignment="1">
      <alignment vertical="center"/>
    </xf>
    <xf numFmtId="0" fontId="17" fillId="0" borderId="5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44" fontId="0" fillId="0" borderId="61" xfId="2" applyFont="1" applyBorder="1" applyAlignment="1">
      <alignment horizontal="right" vertical="center"/>
    </xf>
    <xf numFmtId="0" fontId="0" fillId="0" borderId="62" xfId="0" applyBorder="1" applyAlignment="1">
      <alignment horizontal="center" vertical="center"/>
    </xf>
    <xf numFmtId="44" fontId="0" fillId="0" borderId="63" xfId="2" applyFont="1" applyBorder="1" applyAlignment="1">
      <alignment horizontal="right" vertical="center"/>
    </xf>
    <xf numFmtId="44" fontId="0" fillId="0" borderId="0" xfId="2" applyFont="1" applyBorder="1" applyAlignment="1">
      <alignment horizontal="right" vertical="center"/>
    </xf>
    <xf numFmtId="44" fontId="0" fillId="0" borderId="0" xfId="2" applyFont="1" applyFill="1" applyBorder="1" applyAlignment="1">
      <alignment horizontal="right" vertical="center"/>
    </xf>
    <xf numFmtId="0" fontId="0" fillId="0" borderId="64" xfId="0" applyBorder="1" applyAlignment="1">
      <alignment horizontal="center" vertical="center"/>
    </xf>
    <xf numFmtId="0" fontId="0" fillId="0" borderId="66" xfId="0" applyBorder="1"/>
    <xf numFmtId="0" fontId="0" fillId="0" borderId="67" xfId="0" applyBorder="1" applyAlignment="1">
      <alignment horizontal="center" vertical="center"/>
    </xf>
    <xf numFmtId="44" fontId="0" fillId="0" borderId="68" xfId="2" applyFont="1" applyBorder="1" applyAlignment="1">
      <alignment horizontal="right" vertical="center"/>
    </xf>
    <xf numFmtId="44" fontId="0" fillId="0" borderId="36" xfId="2" applyFont="1" applyBorder="1" applyAlignment="1">
      <alignment vertical="center"/>
    </xf>
    <xf numFmtId="44" fontId="0" fillId="0" borderId="38" xfId="2" applyFont="1" applyBorder="1" applyAlignment="1">
      <alignment vertical="center"/>
    </xf>
    <xf numFmtId="0" fontId="0" fillId="0" borderId="39" xfId="0" applyBorder="1" applyAlignment="1">
      <alignment vertical="center"/>
    </xf>
    <xf numFmtId="44" fontId="0" fillId="0" borderId="40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44" fontId="0" fillId="0" borderId="43" xfId="0" applyNumberFormat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172" fontId="0" fillId="2" borderId="0" xfId="0" applyNumberFormat="1" applyFill="1" applyAlignment="1" applyProtection="1">
      <alignment horizontal="left"/>
      <protection locked="0"/>
    </xf>
    <xf numFmtId="0" fontId="19" fillId="0" borderId="0" xfId="0" applyFont="1" applyAlignment="1">
      <alignment horizontal="right"/>
    </xf>
    <xf numFmtId="0" fontId="0" fillId="0" borderId="69" xfId="0" applyBorder="1" applyAlignment="1">
      <alignment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21" fillId="0" borderId="0" xfId="0" applyFont="1"/>
    <xf numFmtId="0" fontId="11" fillId="2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/>
    </xf>
    <xf numFmtId="0" fontId="0" fillId="9" borderId="1" xfId="0" applyFill="1" applyBorder="1" applyAlignment="1">
      <alignment vertical="center"/>
    </xf>
    <xf numFmtId="2" fontId="27" fillId="0" borderId="1" xfId="0" applyNumberFormat="1" applyFont="1" applyBorder="1" applyAlignment="1">
      <alignment horizontal="center" vertical="center"/>
    </xf>
    <xf numFmtId="2" fontId="27" fillId="0" borderId="26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1" fillId="5" borderId="86" xfId="0" applyFont="1" applyFill="1" applyBorder="1" applyAlignment="1">
      <alignment horizontal="center" vertical="center"/>
    </xf>
    <xf numFmtId="0" fontId="0" fillId="9" borderId="15" xfId="0" applyFill="1" applyBorder="1" applyAlignment="1">
      <alignment vertical="center"/>
    </xf>
    <xf numFmtId="2" fontId="0" fillId="0" borderId="15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0" fontId="28" fillId="5" borderId="44" xfId="0" applyFont="1" applyFill="1" applyBorder="1" applyAlignment="1">
      <alignment horizontal="center" vertical="center"/>
    </xf>
    <xf numFmtId="0" fontId="11" fillId="5" borderId="87" xfId="0" applyFont="1" applyFill="1" applyBorder="1" applyAlignment="1">
      <alignment horizontal="center" vertical="center"/>
    </xf>
    <xf numFmtId="0" fontId="0" fillId="9" borderId="16" xfId="0" applyFill="1" applyBorder="1" applyAlignment="1">
      <alignment vertical="center"/>
    </xf>
    <xf numFmtId="2" fontId="0" fillId="0" borderId="16" xfId="0" applyNumberFormat="1" applyBorder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0" fontId="0" fillId="2" borderId="44" xfId="0" applyFill="1" applyBorder="1" applyAlignment="1">
      <alignment vertical="center"/>
    </xf>
    <xf numFmtId="0" fontId="0" fillId="5" borderId="14" xfId="0" applyFill="1" applyBorder="1" applyAlignment="1">
      <alignment horizontal="center" vertical="center"/>
    </xf>
    <xf numFmtId="0" fontId="0" fillId="5" borderId="36" xfId="0" applyFill="1" applyBorder="1" applyAlignment="1">
      <alignment vertical="center"/>
    </xf>
    <xf numFmtId="0" fontId="0" fillId="5" borderId="38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26" xfId="0" applyFill="1" applyBorder="1" applyAlignment="1">
      <alignment vertical="center"/>
    </xf>
    <xf numFmtId="0" fontId="30" fillId="9" borderId="17" xfId="0" applyFont="1" applyFill="1" applyBorder="1" applyAlignment="1">
      <alignment vertical="center"/>
    </xf>
    <xf numFmtId="2" fontId="31" fillId="10" borderId="17" xfId="0" applyNumberFormat="1" applyFont="1" applyFill="1" applyBorder="1" applyAlignment="1">
      <alignment horizontal="center" vertical="center"/>
    </xf>
    <xf numFmtId="2" fontId="31" fillId="10" borderId="19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45" xfId="0" applyFill="1" applyBorder="1" applyAlignment="1">
      <alignment vertical="center"/>
    </xf>
    <xf numFmtId="0" fontId="0" fillId="5" borderId="25" xfId="0" applyFill="1" applyBorder="1" applyAlignment="1">
      <alignment vertical="center"/>
    </xf>
    <xf numFmtId="0" fontId="0" fillId="5" borderId="41" xfId="0" applyFill="1" applyBorder="1" applyAlignment="1">
      <alignment vertical="center"/>
    </xf>
    <xf numFmtId="0" fontId="0" fillId="5" borderId="43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0" fontId="0" fillId="2" borderId="38" xfId="0" applyFill="1" applyBorder="1" applyAlignment="1">
      <alignment vertical="center"/>
    </xf>
    <xf numFmtId="0" fontId="0" fillId="2" borderId="41" xfId="0" applyFill="1" applyBorder="1" applyAlignment="1">
      <alignment vertical="center"/>
    </xf>
    <xf numFmtId="0" fontId="0" fillId="2" borderId="43" xfId="0" applyFill="1" applyBorder="1" applyAlignment="1">
      <alignment vertical="center"/>
    </xf>
    <xf numFmtId="175" fontId="11" fillId="2" borderId="1" xfId="0" applyNumberFormat="1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11" fillId="0" borderId="0" xfId="0" applyFont="1"/>
    <xf numFmtId="0" fontId="12" fillId="2" borderId="1" xfId="0" applyFont="1" applyFill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top"/>
    </xf>
    <xf numFmtId="0" fontId="11" fillId="0" borderId="0" xfId="0" applyFont="1" applyAlignment="1">
      <alignment horizontal="center" vertical="center"/>
    </xf>
    <xf numFmtId="2" fontId="12" fillId="0" borderId="26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9" fillId="0" borderId="0" xfId="0" applyFont="1"/>
    <xf numFmtId="0" fontId="0" fillId="0" borderId="1" xfId="0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0" fontId="12" fillId="0" borderId="0" xfId="0" applyFont="1"/>
    <xf numFmtId="0" fontId="0" fillId="0" borderId="88" xfId="0" applyBorder="1"/>
    <xf numFmtId="0" fontId="21" fillId="0" borderId="89" xfId="0" applyFont="1" applyBorder="1" applyAlignment="1">
      <alignment horizontal="right"/>
    </xf>
    <xf numFmtId="0" fontId="5" fillId="0" borderId="90" xfId="0" applyFont="1" applyBorder="1" applyAlignment="1">
      <alignment horizontal="right"/>
    </xf>
    <xf numFmtId="0" fontId="34" fillId="0" borderId="0" xfId="0" applyFont="1" applyAlignment="1">
      <alignment horizontal="left"/>
    </xf>
    <xf numFmtId="0" fontId="35" fillId="0" borderId="1" xfId="0" applyFont="1" applyBorder="1" applyAlignment="1">
      <alignment horizontal="right"/>
    </xf>
    <xf numFmtId="0" fontId="0" fillId="0" borderId="91" xfId="0" applyBorder="1"/>
    <xf numFmtId="0" fontId="35" fillId="0" borderId="0" xfId="0" applyFont="1" applyAlignment="1">
      <alignment horizontal="right"/>
    </xf>
    <xf numFmtId="0" fontId="5" fillId="0" borderId="92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0" fillId="0" borderId="93" xfId="0" applyBorder="1"/>
    <xf numFmtId="0" fontId="35" fillId="0" borderId="94" xfId="0" applyFont="1" applyBorder="1" applyAlignment="1">
      <alignment horizontal="right"/>
    </xf>
    <xf numFmtId="0" fontId="5" fillId="0" borderId="95" xfId="0" applyFont="1" applyBorder="1" applyAlignment="1">
      <alignment horizontal="right"/>
    </xf>
    <xf numFmtId="0" fontId="18" fillId="11" borderId="36" xfId="0" applyFont="1" applyFill="1" applyBorder="1" applyAlignment="1">
      <alignment horizontal="center" vertical="center"/>
    </xf>
    <xf numFmtId="0" fontId="0" fillId="11" borderId="37" xfId="0" applyFill="1" applyBorder="1" applyAlignment="1">
      <alignment horizontal="center" vertical="center"/>
    </xf>
    <xf numFmtId="0" fontId="0" fillId="11" borderId="38" xfId="0" applyFill="1" applyBorder="1" applyAlignment="1">
      <alignment horizontal="center" vertical="center"/>
    </xf>
    <xf numFmtId="0" fontId="18" fillId="4" borderId="36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11" borderId="39" xfId="0" applyFill="1" applyBorder="1" applyAlignment="1">
      <alignment horizontal="center" vertical="center"/>
    </xf>
    <xf numFmtId="0" fontId="0" fillId="11" borderId="40" xfId="0" applyFill="1" applyBorder="1" applyAlignment="1">
      <alignment horizontal="center" vertical="center"/>
    </xf>
    <xf numFmtId="0" fontId="0" fillId="4" borderId="39" xfId="0" applyFill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vertical="center" wrapText="1"/>
    </xf>
    <xf numFmtId="0" fontId="37" fillId="0" borderId="1" xfId="0" applyFont="1" applyBorder="1" applyAlignment="1">
      <alignment horizontal="right"/>
    </xf>
    <xf numFmtId="176" fontId="5" fillId="0" borderId="1" xfId="0" applyNumberFormat="1" applyFont="1" applyBorder="1" applyAlignment="1">
      <alignment horizontal="right" vertical="center"/>
    </xf>
    <xf numFmtId="176" fontId="0" fillId="0" borderId="0" xfId="0" applyNumberFormat="1"/>
    <xf numFmtId="2" fontId="0" fillId="0" borderId="0" xfId="0" applyNumberFormat="1"/>
    <xf numFmtId="177" fontId="0" fillId="0" borderId="0" xfId="0" applyNumberFormat="1"/>
    <xf numFmtId="177" fontId="0" fillId="0" borderId="0" xfId="0" applyNumberFormat="1" applyAlignment="1">
      <alignment horizontal="left"/>
    </xf>
    <xf numFmtId="177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 vertical="center"/>
    </xf>
    <xf numFmtId="178" fontId="0" fillId="2" borderId="0" xfId="0" applyNumberFormat="1" applyFill="1" applyProtection="1">
      <protection locked="0"/>
    </xf>
    <xf numFmtId="0" fontId="5" fillId="2" borderId="0" xfId="0" applyFont="1" applyFill="1" applyAlignment="1">
      <alignment horizontal="center"/>
    </xf>
    <xf numFmtId="0" fontId="5" fillId="4" borderId="39" xfId="0" applyFont="1" applyFill="1" applyBorder="1" applyAlignment="1">
      <alignment horizontal="center"/>
    </xf>
    <xf numFmtId="0" fontId="38" fillId="11" borderId="39" xfId="0" applyFont="1" applyFill="1" applyBorder="1" applyAlignment="1">
      <alignment horizontal="center" vertical="center"/>
    </xf>
    <xf numFmtId="0" fontId="38" fillId="11" borderId="40" xfId="0" applyFont="1" applyFill="1" applyBorder="1" applyAlignment="1">
      <alignment horizontal="center" vertical="center"/>
    </xf>
    <xf numFmtId="0" fontId="5" fillId="11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/>
    </xf>
    <xf numFmtId="0" fontId="38" fillId="4" borderId="39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8" fillId="4" borderId="40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0" fontId="5" fillId="11" borderId="40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79" fontId="0" fillId="2" borderId="0" xfId="0" applyNumberFormat="1" applyFill="1" applyProtection="1">
      <protection locked="0"/>
    </xf>
    <xf numFmtId="0" fontId="3" fillId="0" borderId="0" xfId="0" applyFont="1" applyAlignment="1">
      <alignment horizontal="left" vertical="center"/>
    </xf>
    <xf numFmtId="175" fontId="0" fillId="0" borderId="0" xfId="0" applyNumberFormat="1" applyAlignment="1">
      <alignment horizontal="left" vertical="center"/>
    </xf>
    <xf numFmtId="180" fontId="11" fillId="2" borderId="86" xfId="0" applyNumberFormat="1" applyFont="1" applyFill="1" applyBorder="1" applyAlignment="1">
      <alignment horizontal="center" vertical="center"/>
    </xf>
    <xf numFmtId="180" fontId="11" fillId="2" borderId="45" xfId="0" applyNumberFormat="1" applyFont="1" applyFill="1" applyBorder="1" applyAlignment="1">
      <alignment horizontal="center" vertical="center"/>
    </xf>
    <xf numFmtId="180" fontId="11" fillId="2" borderId="44" xfId="0" applyNumberFormat="1" applyFont="1" applyFill="1" applyBorder="1" applyAlignment="1">
      <alignment horizontal="center" vertical="center"/>
    </xf>
    <xf numFmtId="180" fontId="11" fillId="2" borderId="1" xfId="0" applyNumberFormat="1" applyFont="1" applyFill="1" applyBorder="1" applyAlignment="1">
      <alignment horizontal="center" vertical="center"/>
    </xf>
    <xf numFmtId="1" fontId="0" fillId="0" borderId="0" xfId="0" applyNumberFormat="1"/>
    <xf numFmtId="174" fontId="0" fillId="0" borderId="0" xfId="0" applyNumberFormat="1"/>
    <xf numFmtId="0" fontId="0" fillId="0" borderId="96" xfId="0" applyBorder="1"/>
    <xf numFmtId="0" fontId="0" fillId="0" borderId="97" xfId="0" applyBorder="1"/>
    <xf numFmtId="0" fontId="0" fillId="0" borderId="98" xfId="0" applyBorder="1"/>
    <xf numFmtId="0" fontId="0" fillId="0" borderId="99" xfId="0" applyBorder="1"/>
    <xf numFmtId="0" fontId="0" fillId="0" borderId="100" xfId="0" applyBorder="1"/>
    <xf numFmtId="0" fontId="0" fillId="0" borderId="101" xfId="0" applyBorder="1"/>
    <xf numFmtId="0" fontId="0" fillId="0" borderId="39" xfId="0" applyBorder="1"/>
    <xf numFmtId="174" fontId="0" fillId="0" borderId="65" xfId="0" applyNumberFormat="1" applyBorder="1"/>
    <xf numFmtId="174" fontId="0" fillId="0" borderId="100" xfId="0" applyNumberFormat="1" applyBorder="1"/>
    <xf numFmtId="9" fontId="0" fillId="0" borderId="97" xfId="3" applyFont="1" applyBorder="1"/>
    <xf numFmtId="9" fontId="0" fillId="0" borderId="98" xfId="3" applyFont="1" applyBorder="1"/>
    <xf numFmtId="9" fontId="0" fillId="0" borderId="0" xfId="3" applyFont="1" applyBorder="1"/>
    <xf numFmtId="9" fontId="0" fillId="0" borderId="100" xfId="3" applyFont="1" applyBorder="1"/>
    <xf numFmtId="9" fontId="0" fillId="0" borderId="65" xfId="3" applyFont="1" applyBorder="1"/>
    <xf numFmtId="9" fontId="0" fillId="0" borderId="85" xfId="3" applyFont="1" applyBorder="1"/>
    <xf numFmtId="0" fontId="0" fillId="0" borderId="64" xfId="0" applyBorder="1"/>
    <xf numFmtId="2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top"/>
    </xf>
    <xf numFmtId="175" fontId="5" fillId="14" borderId="0" xfId="0" applyNumberFormat="1" applyFont="1" applyFill="1" applyAlignment="1">
      <alignment horizontal="center" vertical="center"/>
    </xf>
    <xf numFmtId="175" fontId="5" fillId="15" borderId="0" xfId="0" applyNumberFormat="1" applyFont="1" applyFill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70" fontId="0" fillId="0" borderId="0" xfId="0" applyNumberFormat="1"/>
    <xf numFmtId="174" fontId="0" fillId="0" borderId="99" xfId="0" applyNumberFormat="1" applyBorder="1"/>
    <xf numFmtId="9" fontId="0" fillId="0" borderId="96" xfId="3" applyFont="1" applyBorder="1"/>
    <xf numFmtId="9" fontId="0" fillId="0" borderId="99" xfId="3" applyFont="1" applyBorder="1"/>
    <xf numFmtId="9" fontId="0" fillId="0" borderId="64" xfId="3" applyFont="1" applyBorder="1"/>
    <xf numFmtId="0" fontId="30" fillId="0" borderId="0" xfId="0" applyFont="1"/>
    <xf numFmtId="181" fontId="0" fillId="0" borderId="0" xfId="0" applyNumberFormat="1"/>
    <xf numFmtId="0" fontId="0" fillId="0" borderId="0" xfId="0" quotePrefix="1"/>
    <xf numFmtId="180" fontId="12" fillId="0" borderId="1" xfId="0" applyNumberFormat="1" applyFont="1" applyBorder="1" applyAlignment="1">
      <alignment horizontal="center" vertical="center"/>
    </xf>
    <xf numFmtId="182" fontId="0" fillId="0" borderId="0" xfId="0" applyNumberFormat="1"/>
    <xf numFmtId="0" fontId="0" fillId="0" borderId="41" xfId="0" applyBorder="1"/>
    <xf numFmtId="0" fontId="0" fillId="0" borderId="43" xfId="0" applyBorder="1"/>
    <xf numFmtId="0" fontId="0" fillId="0" borderId="4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16" borderId="14" xfId="0" applyFill="1" applyBorder="1"/>
    <xf numFmtId="0" fontId="0" fillId="16" borderId="25" xfId="0" applyFill="1" applyBorder="1"/>
    <xf numFmtId="0" fontId="0" fillId="16" borderId="26" xfId="0" applyFill="1" applyBorder="1"/>
    <xf numFmtId="0" fontId="0" fillId="16" borderId="1" xfId="0" applyFill="1" applyBorder="1" applyAlignment="1">
      <alignment horizontal="center" vertical="center"/>
    </xf>
    <xf numFmtId="170" fontId="0" fillId="0" borderId="39" xfId="0" applyNumberFormat="1" applyBorder="1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0" fontId="3" fillId="0" borderId="44" xfId="0" applyFont="1" applyBorder="1"/>
    <xf numFmtId="0" fontId="3" fillId="0" borderId="46" xfId="0" applyFont="1" applyBorder="1"/>
    <xf numFmtId="0" fontId="3" fillId="0" borderId="45" xfId="0" applyFont="1" applyBorder="1"/>
    <xf numFmtId="0" fontId="0" fillId="0" borderId="37" xfId="0" applyBorder="1" applyAlignment="1">
      <alignment horizontal="center" vertical="center"/>
    </xf>
    <xf numFmtId="170" fontId="0" fillId="0" borderId="36" xfId="0" applyNumberFormat="1" applyBorder="1" applyAlignment="1">
      <alignment horizontal="center" vertical="center"/>
    </xf>
    <xf numFmtId="170" fontId="0" fillId="0" borderId="41" xfId="0" applyNumberFormat="1" applyBorder="1" applyAlignment="1">
      <alignment horizontal="center" vertical="center"/>
    </xf>
    <xf numFmtId="183" fontId="0" fillId="0" borderId="37" xfId="0" applyNumberFormat="1" applyBorder="1" applyAlignment="1">
      <alignment horizontal="center" vertical="center"/>
    </xf>
    <xf numFmtId="183" fontId="0" fillId="0" borderId="42" xfId="0" applyNumberFormat="1" applyBorder="1" applyAlignment="1">
      <alignment horizontal="center" vertical="center"/>
    </xf>
    <xf numFmtId="0" fontId="0" fillId="17" borderId="14" xfId="0" applyFill="1" applyBorder="1" applyAlignment="1">
      <alignment vertical="center"/>
    </xf>
    <xf numFmtId="0" fontId="0" fillId="17" borderId="36" xfId="0" applyFill="1" applyBorder="1" applyAlignment="1">
      <alignment horizontal="center" vertical="center"/>
    </xf>
    <xf numFmtId="0" fontId="0" fillId="17" borderId="25" xfId="0" applyFill="1" applyBorder="1" applyAlignment="1">
      <alignment horizontal="center" vertical="center"/>
    </xf>
    <xf numFmtId="0" fontId="0" fillId="17" borderId="37" xfId="0" applyFill="1" applyBorder="1" applyAlignment="1">
      <alignment horizontal="center" vertical="center"/>
    </xf>
    <xf numFmtId="0" fontId="0" fillId="17" borderId="37" xfId="0" applyFill="1" applyBorder="1"/>
    <xf numFmtId="0" fontId="0" fillId="17" borderId="38" xfId="0" applyFill="1" applyBorder="1" applyAlignment="1">
      <alignment horizontal="center" vertical="center"/>
    </xf>
    <xf numFmtId="0" fontId="0" fillId="17" borderId="36" xfId="0" applyFill="1" applyBorder="1" applyAlignment="1">
      <alignment vertical="center"/>
    </xf>
    <xf numFmtId="170" fontId="0" fillId="17" borderId="36" xfId="0" applyNumberFormat="1" applyFill="1" applyBorder="1" applyAlignment="1">
      <alignment horizontal="center" vertical="center"/>
    </xf>
    <xf numFmtId="183" fontId="0" fillId="17" borderId="37" xfId="0" applyNumberFormat="1" applyFill="1" applyBorder="1" applyAlignment="1">
      <alignment horizontal="center" vertical="center"/>
    </xf>
    <xf numFmtId="0" fontId="0" fillId="17" borderId="39" xfId="0" applyFill="1" applyBorder="1" applyAlignment="1">
      <alignment vertical="center"/>
    </xf>
    <xf numFmtId="170" fontId="0" fillId="17" borderId="39" xfId="0" applyNumberFormat="1" applyFill="1" applyBorder="1" applyAlignment="1">
      <alignment horizontal="center" vertical="center"/>
    </xf>
    <xf numFmtId="183" fontId="0" fillId="17" borderId="0" xfId="0" applyNumberForma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7" borderId="0" xfId="0" applyFill="1"/>
    <xf numFmtId="0" fontId="0" fillId="17" borderId="40" xfId="0" applyFill="1" applyBorder="1" applyAlignment="1">
      <alignment horizontal="center" vertical="center"/>
    </xf>
    <xf numFmtId="0" fontId="0" fillId="17" borderId="41" xfId="0" applyFill="1" applyBorder="1" applyAlignment="1">
      <alignment vertical="center"/>
    </xf>
    <xf numFmtId="170" fontId="0" fillId="17" borderId="41" xfId="0" applyNumberFormat="1" applyFill="1" applyBorder="1" applyAlignment="1">
      <alignment horizontal="center" vertical="center"/>
    </xf>
    <xf numFmtId="183" fontId="0" fillId="17" borderId="42" xfId="0" applyNumberFormat="1" applyFill="1" applyBorder="1" applyAlignment="1">
      <alignment horizontal="center" vertical="center"/>
    </xf>
    <xf numFmtId="0" fontId="0" fillId="17" borderId="42" xfId="0" applyFill="1" applyBorder="1" applyAlignment="1">
      <alignment horizontal="center" vertical="center"/>
    </xf>
    <xf numFmtId="0" fontId="0" fillId="17" borderId="42" xfId="0" applyFill="1" applyBorder="1"/>
    <xf numFmtId="0" fontId="0" fillId="17" borderId="43" xfId="0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41" fillId="0" borderId="0" xfId="0" applyFont="1"/>
    <xf numFmtId="0" fontId="9" fillId="0" borderId="0" xfId="0" applyFont="1" applyAlignment="1">
      <alignment horizontal="right" vertical="center"/>
    </xf>
    <xf numFmtId="0" fontId="17" fillId="0" borderId="102" xfId="0" applyFont="1" applyBorder="1" applyAlignment="1">
      <alignment horizontal="left" vertical="center"/>
    </xf>
    <xf numFmtId="0" fontId="0" fillId="0" borderId="103" xfId="0" applyBorder="1" applyAlignment="1">
      <alignment horizontal="left" vertical="center"/>
    </xf>
    <xf numFmtId="0" fontId="0" fillId="0" borderId="104" xfId="0" applyBorder="1" applyAlignment="1">
      <alignment horizontal="left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170" fontId="0" fillId="4" borderId="0" xfId="0" applyNumberFormat="1" applyFill="1" applyProtection="1">
      <protection locked="0"/>
    </xf>
    <xf numFmtId="0" fontId="0" fillId="4" borderId="0" xfId="0" applyFill="1" applyProtection="1">
      <protection locked="0"/>
    </xf>
    <xf numFmtId="169" fontId="0" fillId="4" borderId="0" xfId="0" applyNumberFormat="1" applyFill="1" applyAlignment="1" applyProtection="1">
      <alignment horizontal="left"/>
      <protection locked="0"/>
    </xf>
    <xf numFmtId="170" fontId="0" fillId="0" borderId="35" xfId="0" applyNumberFormat="1" applyBorder="1" applyAlignment="1">
      <alignment horizontal="right"/>
    </xf>
    <xf numFmtId="0" fontId="0" fillId="2" borderId="49" xfId="0" applyFill="1" applyBorder="1" applyAlignment="1" applyProtection="1">
      <alignment horizontal="left" vertical="center"/>
      <protection locked="0"/>
    </xf>
    <xf numFmtId="0" fontId="0" fillId="2" borderId="37" xfId="0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2" borderId="51" xfId="0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50" xfId="0" applyBorder="1" applyAlignment="1">
      <alignment horizontal="left" vertical="center"/>
    </xf>
    <xf numFmtId="0" fontId="0" fillId="0" borderId="50" xfId="0" applyBorder="1" applyAlignment="1">
      <alignment horizontal="center"/>
    </xf>
    <xf numFmtId="0" fontId="47" fillId="0" borderId="0" xfId="0" applyFont="1" applyAlignment="1">
      <alignment horizontal="right"/>
    </xf>
    <xf numFmtId="0" fontId="0" fillId="4" borderId="0" xfId="0" applyFill="1" applyAlignment="1" applyProtection="1">
      <alignment horizontal="left" vertical="center"/>
      <protection locked="0"/>
    </xf>
    <xf numFmtId="0" fontId="42" fillId="4" borderId="0" xfId="0" applyFont="1" applyFill="1" applyAlignment="1" applyProtection="1">
      <alignment horizontal="center" vertical="center"/>
      <protection locked="0"/>
    </xf>
    <xf numFmtId="44" fontId="0" fillId="8" borderId="47" xfId="2" applyFont="1" applyFill="1" applyBorder="1" applyAlignment="1" applyProtection="1">
      <alignment horizontal="right" vertical="center"/>
      <protection locked="0"/>
    </xf>
    <xf numFmtId="44" fontId="0" fillId="8" borderId="31" xfId="2" applyFont="1" applyFill="1" applyBorder="1" applyAlignment="1" applyProtection="1">
      <alignment horizontal="right" vertical="center"/>
      <protection locked="0"/>
    </xf>
    <xf numFmtId="44" fontId="0" fillId="8" borderId="65" xfId="2" applyFont="1" applyFill="1" applyBorder="1" applyAlignment="1" applyProtection="1">
      <alignment horizontal="right" vertical="center"/>
      <protection locked="0"/>
    </xf>
    <xf numFmtId="0" fontId="5" fillId="13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0" xfId="0" applyFill="1" applyAlignment="1" applyProtection="1">
      <alignment horizontal="left" vertical="center" wrapText="1"/>
      <protection locked="0"/>
    </xf>
    <xf numFmtId="0" fontId="0" fillId="4" borderId="0" xfId="0" applyFill="1" applyAlignment="1" applyProtection="1">
      <alignment horizontal="left"/>
      <protection locked="0"/>
    </xf>
    <xf numFmtId="0" fontId="5" fillId="12" borderId="37" xfId="0" applyFont="1" applyFill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16" fillId="2" borderId="0" xfId="0" applyFont="1" applyFill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 textRotation="90"/>
    </xf>
    <xf numFmtId="0" fontId="0" fillId="0" borderId="14" xfId="0" applyBorder="1" applyAlignment="1">
      <alignment horizontal="center" vertical="center" textRotation="90"/>
    </xf>
    <xf numFmtId="0" fontId="0" fillId="0" borderId="44" xfId="0" applyBorder="1" applyAlignment="1">
      <alignment horizontal="center" vertical="center" textRotation="90"/>
    </xf>
    <xf numFmtId="0" fontId="0" fillId="0" borderId="46" xfId="0" applyBorder="1" applyAlignment="1">
      <alignment horizontal="center" vertical="center" textRotation="90"/>
    </xf>
    <xf numFmtId="0" fontId="0" fillId="0" borderId="45" xfId="0" applyBorder="1" applyAlignment="1">
      <alignment horizontal="center" vertical="center" textRotation="90"/>
    </xf>
    <xf numFmtId="0" fontId="0" fillId="0" borderId="44" xfId="0" applyBorder="1" applyAlignment="1">
      <alignment horizontal="center" textRotation="90"/>
    </xf>
    <xf numFmtId="0" fontId="0" fillId="0" borderId="46" xfId="0" applyBorder="1" applyAlignment="1">
      <alignment horizontal="center" textRotation="90"/>
    </xf>
    <xf numFmtId="0" fontId="0" fillId="0" borderId="45" xfId="0" applyBorder="1" applyAlignment="1">
      <alignment horizontal="center" textRotation="90"/>
    </xf>
    <xf numFmtId="0" fontId="11" fillId="5" borderId="86" xfId="0" applyFont="1" applyFill="1" applyBorder="1" applyAlignment="1">
      <alignment horizontal="center" vertical="center"/>
    </xf>
    <xf numFmtId="0" fontId="11" fillId="5" borderId="87" xfId="0" applyFont="1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5" borderId="14" xfId="0" applyFont="1" applyFill="1" applyBorder="1" applyAlignment="1">
      <alignment horizontal="center"/>
    </xf>
    <xf numFmtId="0" fontId="11" fillId="5" borderId="25" xfId="0" applyFont="1" applyFill="1" applyBorder="1" applyAlignment="1">
      <alignment horizontal="center"/>
    </xf>
    <xf numFmtId="0" fontId="11" fillId="5" borderId="26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/>
    </xf>
    <xf numFmtId="0" fontId="11" fillId="5" borderId="46" xfId="0" applyFont="1" applyFill="1" applyBorder="1" applyAlignment="1">
      <alignment horizontal="center" vertical="center"/>
    </xf>
    <xf numFmtId="0" fontId="11" fillId="5" borderId="45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0" fillId="4" borderId="44" xfId="0" applyFill="1" applyBorder="1" applyAlignment="1">
      <alignment horizontal="center" vertical="center"/>
    </xf>
    <xf numFmtId="0" fontId="0" fillId="4" borderId="46" xfId="0" applyFill="1" applyBorder="1" applyAlignment="1">
      <alignment horizontal="center" vertical="center"/>
    </xf>
    <xf numFmtId="0" fontId="0" fillId="4" borderId="45" xfId="0" applyFill="1" applyBorder="1" applyAlignment="1">
      <alignment horizontal="center" vertical="center"/>
    </xf>
    <xf numFmtId="0" fontId="11" fillId="2" borderId="86" xfId="0" applyFont="1" applyFill="1" applyBorder="1" applyAlignment="1">
      <alignment horizontal="center" vertical="center"/>
    </xf>
    <xf numFmtId="0" fontId="11" fillId="2" borderId="87" xfId="0" applyFont="1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0" fillId="5" borderId="4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1" fontId="12" fillId="4" borderId="44" xfId="0" applyNumberFormat="1" applyFont="1" applyFill="1" applyBorder="1" applyAlignment="1">
      <alignment horizontal="center" vertical="center"/>
    </xf>
    <xf numFmtId="1" fontId="12" fillId="4" borderId="45" xfId="0" applyNumberFormat="1" applyFont="1" applyFill="1" applyBorder="1" applyAlignment="1">
      <alignment horizontal="center" vertical="center"/>
    </xf>
    <xf numFmtId="2" fontId="12" fillId="0" borderId="44" xfId="0" applyNumberFormat="1" applyFont="1" applyBorder="1" applyAlignment="1">
      <alignment horizontal="center" vertical="center"/>
    </xf>
    <xf numFmtId="2" fontId="12" fillId="0" borderId="45" xfId="0" applyNumberFormat="1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</cellXfs>
  <cellStyles count="4">
    <cellStyle name="Monétaire" xfId="2" builtinId="4"/>
    <cellStyle name="Normal" xfId="0" builtinId="0"/>
    <cellStyle name="Pourcentage" xfId="3" builtinId="5"/>
    <cellStyle name="Titre 4" xfId="1" builtinId="19" customBuiltin="1"/>
  </cellStyles>
  <dxfs count="1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7" tint="0.59996337778862885"/>
        </patternFill>
      </fill>
    </dxf>
    <dxf>
      <fill>
        <patternFill>
          <bgColor rgb="FFFF9999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C00000"/>
      </font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39994506668294322"/>
        </patternFill>
      </fill>
    </dxf>
    <dxf>
      <font>
        <b/>
        <i/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CCCC"/>
      <color rgb="FFFF9999"/>
      <color rgb="FFE9ED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863139</xdr:colOff>
      <xdr:row>13</xdr:row>
      <xdr:rowOff>50958</xdr:rowOff>
    </xdr:from>
    <xdr:to>
      <xdr:col>9</xdr:col>
      <xdr:colOff>587960</xdr:colOff>
      <xdr:row>22</xdr:row>
      <xdr:rowOff>59848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5A31D2F-B44A-55DC-FD52-3D9662751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13864"/>
        <a:stretch/>
      </xdr:blipFill>
      <xdr:spPr>
        <a:xfrm>
          <a:off x="4673139" y="2741771"/>
          <a:ext cx="2571050" cy="1443990"/>
        </a:xfrm>
        <a:prstGeom prst="rect">
          <a:avLst/>
        </a:prstGeom>
      </xdr:spPr>
    </xdr:pic>
    <xdr:clientData/>
  </xdr:twoCellAnchor>
  <xdr:twoCellAnchor editAs="oneCell">
    <xdr:from>
      <xdr:col>1</xdr:col>
      <xdr:colOff>40864</xdr:colOff>
      <xdr:row>0</xdr:row>
      <xdr:rowOff>196032</xdr:rowOff>
    </xdr:from>
    <xdr:to>
      <xdr:col>2</xdr:col>
      <xdr:colOff>893302</xdr:colOff>
      <xdr:row>1</xdr:row>
      <xdr:rowOff>155131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954E143-9FD5-3378-D167-7627ECBED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81" y="196032"/>
          <a:ext cx="1056484" cy="318932"/>
        </a:xfrm>
        <a:prstGeom prst="rect">
          <a:avLst/>
        </a:prstGeom>
      </xdr:spPr>
    </xdr:pic>
    <xdr:clientData/>
  </xdr:twoCellAnchor>
  <xdr:twoCellAnchor editAs="oneCell">
    <xdr:from>
      <xdr:col>9</xdr:col>
      <xdr:colOff>617537</xdr:colOff>
      <xdr:row>22</xdr:row>
      <xdr:rowOff>47782</xdr:rowOff>
    </xdr:from>
    <xdr:to>
      <xdr:col>12</xdr:col>
      <xdr:colOff>321072</xdr:colOff>
      <xdr:row>32</xdr:row>
      <xdr:rowOff>54107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6E58EB0-F0EA-C1CA-3746-419E66D5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4380" y="4270915"/>
          <a:ext cx="1249998" cy="1837389"/>
        </a:xfrm>
        <a:prstGeom prst="rect">
          <a:avLst/>
        </a:prstGeom>
      </xdr:spPr>
    </xdr:pic>
    <xdr:clientData/>
  </xdr:twoCellAnchor>
  <xdr:twoCellAnchor>
    <xdr:from>
      <xdr:col>10</xdr:col>
      <xdr:colOff>9908</xdr:colOff>
      <xdr:row>67</xdr:row>
      <xdr:rowOff>169939</xdr:rowOff>
    </xdr:from>
    <xdr:to>
      <xdr:col>11</xdr:col>
      <xdr:colOff>180474</xdr:colOff>
      <xdr:row>67</xdr:row>
      <xdr:rowOff>169939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4B4F4324-33CA-A9BE-6EA2-2A2A239E957A}"/>
            </a:ext>
          </a:extLst>
        </xdr:cNvPr>
        <xdr:cNvCxnSpPr/>
      </xdr:nvCxnSpPr>
      <xdr:spPr>
        <a:xfrm flipV="1">
          <a:off x="6791708" y="12247639"/>
          <a:ext cx="829152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30173</xdr:colOff>
      <xdr:row>67</xdr:row>
      <xdr:rowOff>169419</xdr:rowOff>
    </xdr:from>
    <xdr:to>
      <xdr:col>15</xdr:col>
      <xdr:colOff>1429</xdr:colOff>
      <xdr:row>67</xdr:row>
      <xdr:rowOff>169419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3B1E3514-4B02-0788-2165-CDA637BFD0D9}"/>
            </a:ext>
          </a:extLst>
        </xdr:cNvPr>
        <xdr:cNvCxnSpPr/>
      </xdr:nvCxnSpPr>
      <xdr:spPr>
        <a:xfrm flipV="1">
          <a:off x="9947059" y="12247119"/>
          <a:ext cx="82034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7855</xdr:colOff>
      <xdr:row>67</xdr:row>
      <xdr:rowOff>166649</xdr:rowOff>
    </xdr:from>
    <xdr:to>
      <xdr:col>13</xdr:col>
      <xdr:colOff>9155</xdr:colOff>
      <xdr:row>67</xdr:row>
      <xdr:rowOff>166649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5D149E1-47AB-3A73-D35B-A0BD21F5BCEB}"/>
            </a:ext>
          </a:extLst>
        </xdr:cNvPr>
        <xdr:cNvCxnSpPr/>
      </xdr:nvCxnSpPr>
      <xdr:spPr>
        <a:xfrm>
          <a:off x="7638741" y="12244349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626333</xdr:colOff>
      <xdr:row>59</xdr:row>
      <xdr:rowOff>96572</xdr:rowOff>
    </xdr:from>
    <xdr:to>
      <xdr:col>14</xdr:col>
      <xdr:colOff>9293</xdr:colOff>
      <xdr:row>59</xdr:row>
      <xdr:rowOff>102219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EDF53AEF-2281-A20C-289E-79CC7A096FF8}"/>
            </a:ext>
          </a:extLst>
        </xdr:cNvPr>
        <xdr:cNvCxnSpPr/>
      </xdr:nvCxnSpPr>
      <xdr:spPr>
        <a:xfrm>
          <a:off x="7400699" y="10745987"/>
          <a:ext cx="2705094" cy="564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350381</xdr:colOff>
      <xdr:row>56</xdr:row>
      <xdr:rowOff>172751</xdr:rowOff>
    </xdr:from>
    <xdr:to>
      <xdr:col>12</xdr:col>
      <xdr:colOff>367061</xdr:colOff>
      <xdr:row>65</xdr:row>
      <xdr:rowOff>4646</xdr:rowOff>
    </xdr:to>
    <xdr:cxnSp macro="">
      <xdr:nvCxnSpPr>
        <xdr:cNvPr id="18" name="Connecteur droit avec flèche 17">
          <a:extLst>
            <a:ext uri="{FF2B5EF4-FFF2-40B4-BE49-F238E27FC236}">
              <a16:creationId xmlns:a16="http://schemas.microsoft.com/office/drawing/2014/main" id="{B2B98F9B-854A-8F48-8382-FDBB7EA20464}"/>
            </a:ext>
          </a:extLst>
        </xdr:cNvPr>
        <xdr:cNvCxnSpPr/>
      </xdr:nvCxnSpPr>
      <xdr:spPr>
        <a:xfrm>
          <a:off x="7970381" y="10278544"/>
          <a:ext cx="16680" cy="146276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779779</xdr:colOff>
      <xdr:row>62</xdr:row>
      <xdr:rowOff>18296</xdr:rowOff>
    </xdr:from>
    <xdr:to>
      <xdr:col>11</xdr:col>
      <xdr:colOff>9293</xdr:colOff>
      <xdr:row>62</xdr:row>
      <xdr:rowOff>18585</xdr:rowOff>
    </xdr:to>
    <xdr:cxnSp macro="">
      <xdr:nvCxnSpPr>
        <xdr:cNvPr id="21" name="Connecteur droit avec flèche 20">
          <a:extLst>
            <a:ext uri="{FF2B5EF4-FFF2-40B4-BE49-F238E27FC236}">
              <a16:creationId xmlns:a16="http://schemas.microsoft.com/office/drawing/2014/main" id="{7906A526-FB99-500A-596E-FF46145A1955}"/>
            </a:ext>
          </a:extLst>
        </xdr:cNvPr>
        <xdr:cNvCxnSpPr/>
      </xdr:nvCxnSpPr>
      <xdr:spPr>
        <a:xfrm>
          <a:off x="6764267" y="11211333"/>
          <a:ext cx="674526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742387</xdr:colOff>
      <xdr:row>53</xdr:row>
      <xdr:rowOff>46548</xdr:rowOff>
    </xdr:from>
    <xdr:to>
      <xdr:col>12</xdr:col>
      <xdr:colOff>1623041</xdr:colOff>
      <xdr:row>53</xdr:row>
      <xdr:rowOff>200748</xdr:rowOff>
    </xdr:to>
    <xdr:sp macro="" textlink="toit_long">
      <xdr:nvSpPr>
        <xdr:cNvPr id="23" name="Rectangle 22">
          <a:extLst>
            <a:ext uri="{FF2B5EF4-FFF2-40B4-BE49-F238E27FC236}">
              <a16:creationId xmlns:a16="http://schemas.microsoft.com/office/drawing/2014/main" id="{396664AE-0FA0-AF3C-A67F-79647D3AF53D}"/>
            </a:ext>
          </a:extLst>
        </xdr:cNvPr>
        <xdr:cNvSpPr/>
      </xdr:nvSpPr>
      <xdr:spPr>
        <a:xfrm>
          <a:off x="8937659" y="9552687"/>
          <a:ext cx="880654" cy="154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20,0 m</a:t>
          </a:fld>
          <a:endParaRPr lang="en-US" sz="1100"/>
        </a:p>
      </xdr:txBody>
    </xdr:sp>
    <xdr:clientData/>
  </xdr:twoCellAnchor>
  <xdr:twoCellAnchor>
    <xdr:from>
      <xdr:col>9</xdr:col>
      <xdr:colOff>692791</xdr:colOff>
      <xdr:row>62</xdr:row>
      <xdr:rowOff>44557</xdr:rowOff>
    </xdr:from>
    <xdr:to>
      <xdr:col>11</xdr:col>
      <xdr:colOff>116843</xdr:colOff>
      <xdr:row>63</xdr:row>
      <xdr:rowOff>23057</xdr:rowOff>
    </xdr:to>
    <xdr:sp macro="" textlink="toit_dim_e10">
      <xdr:nvSpPr>
        <xdr:cNvPr id="24" name="Rectangle 23">
          <a:extLst>
            <a:ext uri="{FF2B5EF4-FFF2-40B4-BE49-F238E27FC236}">
              <a16:creationId xmlns:a16="http://schemas.microsoft.com/office/drawing/2014/main" id="{2FCEF9E7-4077-BE53-F095-8984BA09055B}"/>
            </a:ext>
          </a:extLst>
        </xdr:cNvPr>
        <xdr:cNvSpPr/>
      </xdr:nvSpPr>
      <xdr:spPr>
        <a:xfrm>
          <a:off x="6683688" y="11389160"/>
          <a:ext cx="869224" cy="1624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E1A30D8-7F74-438A-8334-E6D92259D59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2,0m</a:t>
          </a:fld>
          <a:endParaRPr lang="en-US" sz="1100"/>
        </a:p>
      </xdr:txBody>
    </xdr:sp>
    <xdr:clientData/>
  </xdr:twoCellAnchor>
  <xdr:twoCellAnchor>
    <xdr:from>
      <xdr:col>9</xdr:col>
      <xdr:colOff>780093</xdr:colOff>
      <xdr:row>68</xdr:row>
      <xdr:rowOff>151565</xdr:rowOff>
    </xdr:from>
    <xdr:to>
      <xdr:col>12</xdr:col>
      <xdr:colOff>11740</xdr:colOff>
      <xdr:row>69</xdr:row>
      <xdr:rowOff>124350</xdr:rowOff>
    </xdr:to>
    <xdr:sp macro="" textlink="toit_dim_e4">
      <xdr:nvSpPr>
        <xdr:cNvPr id="25" name="Rectangle 24">
          <a:extLst>
            <a:ext uri="{FF2B5EF4-FFF2-40B4-BE49-F238E27FC236}">
              <a16:creationId xmlns:a16="http://schemas.microsoft.com/office/drawing/2014/main" id="{E8FE9E89-1191-6A3B-392D-07E57036F55F}"/>
            </a:ext>
          </a:extLst>
        </xdr:cNvPr>
        <xdr:cNvSpPr/>
      </xdr:nvSpPr>
      <xdr:spPr>
        <a:xfrm>
          <a:off x="6770990" y="12599755"/>
          <a:ext cx="867319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3714EE6-96B6-4C97-ACD3-0FE04BF5187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>
    <xdr:from>
      <xdr:col>13</xdr:col>
      <xdr:colOff>32845</xdr:colOff>
      <xdr:row>68</xdr:row>
      <xdr:rowOff>137948</xdr:rowOff>
    </xdr:from>
    <xdr:to>
      <xdr:col>15</xdr:col>
      <xdr:colOff>48957</xdr:colOff>
      <xdr:row>69</xdr:row>
      <xdr:rowOff>114543</xdr:rowOff>
    </xdr:to>
    <xdr:sp macro="" textlink="toit_dim_e4">
      <xdr:nvSpPr>
        <xdr:cNvPr id="26" name="Rectangle 25">
          <a:extLst>
            <a:ext uri="{FF2B5EF4-FFF2-40B4-BE49-F238E27FC236}">
              <a16:creationId xmlns:a16="http://schemas.microsoft.com/office/drawing/2014/main" id="{02AEEC8D-5CE6-4AF3-ACDA-56478E0DE41C}"/>
            </a:ext>
          </a:extLst>
        </xdr:cNvPr>
        <xdr:cNvSpPr/>
      </xdr:nvSpPr>
      <xdr:spPr>
        <a:xfrm>
          <a:off x="9860017" y="12586138"/>
          <a:ext cx="778112" cy="1605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3714EE6-96B6-4C97-ACD3-0FE04BF5187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>
    <xdr:from>
      <xdr:col>13</xdr:col>
      <xdr:colOff>173530</xdr:colOff>
      <xdr:row>62</xdr:row>
      <xdr:rowOff>51141</xdr:rowOff>
    </xdr:from>
    <xdr:to>
      <xdr:col>15</xdr:col>
      <xdr:colOff>12249</xdr:colOff>
      <xdr:row>62</xdr:row>
      <xdr:rowOff>51430</xdr:rowOff>
    </xdr:to>
    <xdr:cxnSp macro="">
      <xdr:nvCxnSpPr>
        <xdr:cNvPr id="27" name="Connecteur droit avec flèche 26">
          <a:extLst>
            <a:ext uri="{FF2B5EF4-FFF2-40B4-BE49-F238E27FC236}">
              <a16:creationId xmlns:a16="http://schemas.microsoft.com/office/drawing/2014/main" id="{E96F6DF9-76F5-748E-8F83-7B3347E71261}"/>
            </a:ext>
          </a:extLst>
        </xdr:cNvPr>
        <xdr:cNvCxnSpPr/>
      </xdr:nvCxnSpPr>
      <xdr:spPr>
        <a:xfrm>
          <a:off x="10000702" y="11395744"/>
          <a:ext cx="60071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97972</xdr:colOff>
      <xdr:row>62</xdr:row>
      <xdr:rowOff>77402</xdr:rowOff>
    </xdr:from>
    <xdr:to>
      <xdr:col>15</xdr:col>
      <xdr:colOff>102654</xdr:colOff>
      <xdr:row>63</xdr:row>
      <xdr:rowOff>50187</xdr:rowOff>
    </xdr:to>
    <xdr:sp macro="" textlink="toit_dim_e10">
      <xdr:nvSpPr>
        <xdr:cNvPr id="28" name="Rectangle 27">
          <a:extLst>
            <a:ext uri="{FF2B5EF4-FFF2-40B4-BE49-F238E27FC236}">
              <a16:creationId xmlns:a16="http://schemas.microsoft.com/office/drawing/2014/main" id="{D20F95E6-8786-D984-5076-BF29D68F3828}"/>
            </a:ext>
          </a:extLst>
        </xdr:cNvPr>
        <xdr:cNvSpPr/>
      </xdr:nvSpPr>
      <xdr:spPr>
        <a:xfrm>
          <a:off x="9925144" y="11422005"/>
          <a:ext cx="766682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E1A30D8-7F74-438A-8334-E6D92259D59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2,0m</a:t>
          </a:fld>
          <a:endParaRPr lang="en-US" sz="1100"/>
        </a:p>
      </xdr:txBody>
    </xdr:sp>
    <xdr:clientData/>
  </xdr:twoCellAnchor>
  <xdr:twoCellAnchor>
    <xdr:from>
      <xdr:col>12</xdr:col>
      <xdr:colOff>790472</xdr:colOff>
      <xdr:row>58</xdr:row>
      <xdr:rowOff>90540</xdr:rowOff>
    </xdr:from>
    <xdr:to>
      <xdr:col>12</xdr:col>
      <xdr:colOff>1557154</xdr:colOff>
      <xdr:row>59</xdr:row>
      <xdr:rowOff>67135</xdr:rowOff>
    </xdr:to>
    <xdr:sp macro="" textlink="Dim_centre_long">
      <xdr:nvSpPr>
        <xdr:cNvPr id="29" name="Rectangle 28">
          <a:extLst>
            <a:ext uri="{FF2B5EF4-FFF2-40B4-BE49-F238E27FC236}">
              <a16:creationId xmlns:a16="http://schemas.microsoft.com/office/drawing/2014/main" id="{16ACE59A-5787-B3DD-A2B7-DBA2F5545D8A}"/>
            </a:ext>
          </a:extLst>
        </xdr:cNvPr>
        <xdr:cNvSpPr/>
      </xdr:nvSpPr>
      <xdr:spPr>
        <a:xfrm>
          <a:off x="8331644" y="10699419"/>
          <a:ext cx="766682" cy="1605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F981604-B5D7-4F18-843B-94739DAA24D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16,0m</a:t>
          </a:fld>
          <a:endParaRPr lang="en-US" sz="1100"/>
        </a:p>
      </xdr:txBody>
    </xdr:sp>
    <xdr:clientData/>
  </xdr:twoCellAnchor>
  <xdr:twoCellAnchor>
    <xdr:from>
      <xdr:col>12</xdr:col>
      <xdr:colOff>163615</xdr:colOff>
      <xdr:row>59</xdr:row>
      <xdr:rowOff>64311</xdr:rowOff>
    </xdr:from>
    <xdr:to>
      <xdr:col>12</xdr:col>
      <xdr:colOff>320331</xdr:colOff>
      <xdr:row>63</xdr:row>
      <xdr:rowOff>97174</xdr:rowOff>
    </xdr:to>
    <xdr:sp macro="" textlink="Dim_centre_haut_MP">
      <xdr:nvSpPr>
        <xdr:cNvPr id="30" name="Rectangle 29">
          <a:extLst>
            <a:ext uri="{FF2B5EF4-FFF2-40B4-BE49-F238E27FC236}">
              <a16:creationId xmlns:a16="http://schemas.microsoft.com/office/drawing/2014/main" id="{509D3E34-A26B-D9FE-4331-603A58CB5302}"/>
            </a:ext>
          </a:extLst>
        </xdr:cNvPr>
        <xdr:cNvSpPr/>
      </xdr:nvSpPr>
      <xdr:spPr>
        <a:xfrm rot="16200000">
          <a:off x="7398851" y="11163057"/>
          <a:ext cx="768587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1BB3351-B1AD-4BE1-ADBF-1326C075D54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>
    <xdr:from>
      <xdr:col>10</xdr:col>
      <xdr:colOff>19492</xdr:colOff>
      <xdr:row>54</xdr:row>
      <xdr:rowOff>30771</xdr:rowOff>
    </xdr:from>
    <xdr:to>
      <xdr:col>14</xdr:col>
      <xdr:colOff>571500</xdr:colOff>
      <xdr:row>54</xdr:row>
      <xdr:rowOff>38449</xdr:rowOff>
    </xdr:to>
    <xdr:cxnSp macro="">
      <xdr:nvCxnSpPr>
        <xdr:cNvPr id="31" name="Connecteur droit avec flèche 30">
          <a:extLst>
            <a:ext uri="{FF2B5EF4-FFF2-40B4-BE49-F238E27FC236}">
              <a16:creationId xmlns:a16="http://schemas.microsoft.com/office/drawing/2014/main" id="{BADED393-F23B-87BA-4897-20FD610F3B4A}"/>
            </a:ext>
          </a:extLst>
        </xdr:cNvPr>
        <xdr:cNvCxnSpPr/>
      </xdr:nvCxnSpPr>
      <xdr:spPr>
        <a:xfrm>
          <a:off x="7450878" y="9782108"/>
          <a:ext cx="3786736" cy="767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390522</xdr:colOff>
      <xdr:row>55</xdr:row>
      <xdr:rowOff>17962</xdr:rowOff>
    </xdr:from>
    <xdr:to>
      <xdr:col>9</xdr:col>
      <xdr:colOff>395186</xdr:colOff>
      <xdr:row>67</xdr:row>
      <xdr:rowOff>17962</xdr:rowOff>
    </xdr:to>
    <xdr:cxnSp macro="">
      <xdr:nvCxnSpPr>
        <xdr:cNvPr id="33" name="Connecteur droit avec flèche 32">
          <a:extLst>
            <a:ext uri="{FF2B5EF4-FFF2-40B4-BE49-F238E27FC236}">
              <a16:creationId xmlns:a16="http://schemas.microsoft.com/office/drawing/2014/main" id="{BFF1562F-47C7-855E-933B-13FAA63B1238}"/>
            </a:ext>
          </a:extLst>
        </xdr:cNvPr>
        <xdr:cNvCxnSpPr/>
      </xdr:nvCxnSpPr>
      <xdr:spPr>
        <a:xfrm>
          <a:off x="6383945" y="10041193"/>
          <a:ext cx="4664" cy="219807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146814</xdr:colOff>
      <xdr:row>58</xdr:row>
      <xdr:rowOff>152870</xdr:rowOff>
    </xdr:from>
    <xdr:to>
      <xdr:col>9</xdr:col>
      <xdr:colOff>299720</xdr:colOff>
      <xdr:row>63</xdr:row>
      <xdr:rowOff>6119</xdr:rowOff>
    </xdr:to>
    <xdr:sp macro="" textlink="toit_larg">
      <xdr:nvSpPr>
        <xdr:cNvPr id="34" name="Rectangle 33">
          <a:extLst>
            <a:ext uri="{FF2B5EF4-FFF2-40B4-BE49-F238E27FC236}">
              <a16:creationId xmlns:a16="http://schemas.microsoft.com/office/drawing/2014/main" id="{22EB9C09-13D4-9FFB-03AD-FB454B32C2EA}"/>
            </a:ext>
          </a:extLst>
        </xdr:cNvPr>
        <xdr:cNvSpPr/>
      </xdr:nvSpPr>
      <xdr:spPr>
        <a:xfrm rot="16200000">
          <a:off x="5832133" y="11033724"/>
          <a:ext cx="769114" cy="1529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4748F8E-D705-4A17-9514-DB4E3889DA9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9 m</a:t>
          </a:fld>
          <a:endParaRPr lang="en-US" sz="1100"/>
        </a:p>
      </xdr:txBody>
    </xdr:sp>
    <xdr:clientData/>
  </xdr:twoCellAnchor>
  <xdr:twoCellAnchor>
    <xdr:from>
      <xdr:col>12</xdr:col>
      <xdr:colOff>658718</xdr:colOff>
      <xdr:row>68</xdr:row>
      <xdr:rowOff>157007</xdr:rowOff>
    </xdr:from>
    <xdr:to>
      <xdr:col>12</xdr:col>
      <xdr:colOff>1441579</xdr:colOff>
      <xdr:row>69</xdr:row>
      <xdr:rowOff>131697</xdr:rowOff>
    </xdr:to>
    <xdr:sp macro="" textlink="dim_egout_long">
      <xdr:nvSpPr>
        <xdr:cNvPr id="37" name="Rectangle 36">
          <a:extLst>
            <a:ext uri="{FF2B5EF4-FFF2-40B4-BE49-F238E27FC236}">
              <a16:creationId xmlns:a16="http://schemas.microsoft.com/office/drawing/2014/main" id="{0CD113F3-C337-8CAB-1F8A-02998BD51437}"/>
            </a:ext>
          </a:extLst>
        </xdr:cNvPr>
        <xdr:cNvSpPr/>
      </xdr:nvSpPr>
      <xdr:spPr>
        <a:xfrm>
          <a:off x="8202518" y="12414321"/>
          <a:ext cx="782861" cy="1543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D6311E8-0D74-4484-9A83-B838DBDE86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10,0m</a:t>
          </a:fld>
          <a:endParaRPr lang="en-US" sz="1100"/>
        </a:p>
      </xdr:txBody>
    </xdr:sp>
    <xdr:clientData/>
  </xdr:twoCellAnchor>
  <xdr:twoCellAnchor>
    <xdr:from>
      <xdr:col>18</xdr:col>
      <xdr:colOff>739164</xdr:colOff>
      <xdr:row>53</xdr:row>
      <xdr:rowOff>38928</xdr:rowOff>
    </xdr:from>
    <xdr:to>
      <xdr:col>18</xdr:col>
      <xdr:colOff>1616008</xdr:colOff>
      <xdr:row>53</xdr:row>
      <xdr:rowOff>196938</xdr:rowOff>
    </xdr:to>
    <xdr:sp macro="" textlink="toit_long">
      <xdr:nvSpPr>
        <xdr:cNvPr id="38" name="Rectangle 37">
          <a:extLst>
            <a:ext uri="{FF2B5EF4-FFF2-40B4-BE49-F238E27FC236}">
              <a16:creationId xmlns:a16="http://schemas.microsoft.com/office/drawing/2014/main" id="{4F306548-6D9E-F9ED-0785-6830016C549A}"/>
            </a:ext>
          </a:extLst>
        </xdr:cNvPr>
        <xdr:cNvSpPr/>
      </xdr:nvSpPr>
      <xdr:spPr>
        <a:xfrm>
          <a:off x="13536614" y="9545067"/>
          <a:ext cx="876844" cy="1580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20,0 m</a:t>
          </a:fld>
          <a:endParaRPr lang="en-US" sz="1100"/>
        </a:p>
      </xdr:txBody>
    </xdr:sp>
    <xdr:clientData/>
  </xdr:twoCellAnchor>
  <xdr:twoCellAnchor>
    <xdr:from>
      <xdr:col>16</xdr:col>
      <xdr:colOff>16269</xdr:colOff>
      <xdr:row>54</xdr:row>
      <xdr:rowOff>28866</xdr:rowOff>
    </xdr:from>
    <xdr:to>
      <xdr:col>20</xdr:col>
      <xdr:colOff>553037</xdr:colOff>
      <xdr:row>54</xdr:row>
      <xdr:rowOff>34639</xdr:rowOff>
    </xdr:to>
    <xdr:cxnSp macro="">
      <xdr:nvCxnSpPr>
        <xdr:cNvPr id="39" name="Connecteur droit avec flèche 38">
          <a:extLst>
            <a:ext uri="{FF2B5EF4-FFF2-40B4-BE49-F238E27FC236}">
              <a16:creationId xmlns:a16="http://schemas.microsoft.com/office/drawing/2014/main" id="{16F986C3-6CD6-C7CD-D189-78A872183175}"/>
            </a:ext>
          </a:extLst>
        </xdr:cNvPr>
        <xdr:cNvCxnSpPr/>
      </xdr:nvCxnSpPr>
      <xdr:spPr>
        <a:xfrm>
          <a:off x="12049833" y="9780203"/>
          <a:ext cx="3771496" cy="577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4487</xdr:colOff>
      <xdr:row>68</xdr:row>
      <xdr:rowOff>5230</xdr:rowOff>
    </xdr:from>
    <xdr:to>
      <xdr:col>17</xdr:col>
      <xdr:colOff>171243</xdr:colOff>
      <xdr:row>68</xdr:row>
      <xdr:rowOff>5230</xdr:rowOff>
    </xdr:to>
    <xdr:cxnSp macro="">
      <xdr:nvCxnSpPr>
        <xdr:cNvPr id="42" name="Connecteur droit avec flèche 41">
          <a:extLst>
            <a:ext uri="{FF2B5EF4-FFF2-40B4-BE49-F238E27FC236}">
              <a16:creationId xmlns:a16="http://schemas.microsoft.com/office/drawing/2014/main" id="{E742CF06-97F9-92BE-7FD2-C83C09B4473B}"/>
            </a:ext>
          </a:extLst>
        </xdr:cNvPr>
        <xdr:cNvCxnSpPr/>
      </xdr:nvCxnSpPr>
      <xdr:spPr>
        <a:xfrm flipV="1">
          <a:off x="11390525" y="12409711"/>
          <a:ext cx="73825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20942</xdr:colOff>
      <xdr:row>68</xdr:row>
      <xdr:rowOff>4710</xdr:rowOff>
    </xdr:from>
    <xdr:to>
      <xdr:col>20</xdr:col>
      <xdr:colOff>565603</xdr:colOff>
      <xdr:row>68</xdr:row>
      <xdr:rowOff>4710</xdr:rowOff>
    </xdr:to>
    <xdr:cxnSp macro="">
      <xdr:nvCxnSpPr>
        <xdr:cNvPr id="43" name="Connecteur droit avec flèche 42">
          <a:extLst>
            <a:ext uri="{FF2B5EF4-FFF2-40B4-BE49-F238E27FC236}">
              <a16:creationId xmlns:a16="http://schemas.microsoft.com/office/drawing/2014/main" id="{0DFE6989-AB25-28EB-B2B4-666F3B6CF80F}"/>
            </a:ext>
          </a:extLst>
        </xdr:cNvPr>
        <xdr:cNvCxnSpPr/>
      </xdr:nvCxnSpPr>
      <xdr:spPr>
        <a:xfrm flipV="1">
          <a:off x="14454980" y="12409191"/>
          <a:ext cx="7351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2434</xdr:colOff>
      <xdr:row>68</xdr:row>
      <xdr:rowOff>1940</xdr:rowOff>
    </xdr:from>
    <xdr:to>
      <xdr:col>19</xdr:col>
      <xdr:colOff>3734</xdr:colOff>
      <xdr:row>68</xdr:row>
      <xdr:rowOff>1940</xdr:rowOff>
    </xdr:to>
    <xdr:cxnSp macro="">
      <xdr:nvCxnSpPr>
        <xdr:cNvPr id="44" name="Connecteur droit avec flèche 43">
          <a:extLst>
            <a:ext uri="{FF2B5EF4-FFF2-40B4-BE49-F238E27FC236}">
              <a16:creationId xmlns:a16="http://schemas.microsoft.com/office/drawing/2014/main" id="{0CA68238-01F0-AA83-1A54-C40BBED45F40}"/>
            </a:ext>
          </a:extLst>
        </xdr:cNvPr>
        <xdr:cNvCxnSpPr/>
      </xdr:nvCxnSpPr>
      <xdr:spPr>
        <a:xfrm>
          <a:off x="12150472" y="12406421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776576</xdr:colOff>
      <xdr:row>68</xdr:row>
      <xdr:rowOff>166219</xdr:rowOff>
    </xdr:from>
    <xdr:to>
      <xdr:col>18</xdr:col>
      <xdr:colOff>8224</xdr:colOff>
      <xdr:row>69</xdr:row>
      <xdr:rowOff>140909</xdr:rowOff>
    </xdr:to>
    <xdr:sp macro="" textlink="toit_dim_e4">
      <xdr:nvSpPr>
        <xdr:cNvPr id="45" name="Rectangle 44">
          <a:extLst>
            <a:ext uri="{FF2B5EF4-FFF2-40B4-BE49-F238E27FC236}">
              <a16:creationId xmlns:a16="http://schemas.microsoft.com/office/drawing/2014/main" id="{8EDBE027-F3E5-D2B1-D1B8-DA0C0F99B27C}"/>
            </a:ext>
          </a:extLst>
        </xdr:cNvPr>
        <xdr:cNvSpPr/>
      </xdr:nvSpPr>
      <xdr:spPr>
        <a:xfrm>
          <a:off x="11371307" y="12570700"/>
          <a:ext cx="784955" cy="1578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3714EE6-96B6-4C97-ACD3-0FE04BF5187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>
    <xdr:from>
      <xdr:col>19</xdr:col>
      <xdr:colOff>23614</xdr:colOff>
      <xdr:row>68</xdr:row>
      <xdr:rowOff>148792</xdr:rowOff>
    </xdr:from>
    <xdr:to>
      <xdr:col>21</xdr:col>
      <xdr:colOff>43536</xdr:colOff>
      <xdr:row>69</xdr:row>
      <xdr:rowOff>129197</xdr:rowOff>
    </xdr:to>
    <xdr:sp macro="" textlink="toit_dim_e4">
      <xdr:nvSpPr>
        <xdr:cNvPr id="46" name="Rectangle 45">
          <a:extLst>
            <a:ext uri="{FF2B5EF4-FFF2-40B4-BE49-F238E27FC236}">
              <a16:creationId xmlns:a16="http://schemas.microsoft.com/office/drawing/2014/main" id="{04C970D2-EEBE-0741-CBF4-CD848FE6962D}"/>
            </a:ext>
          </a:extLst>
        </xdr:cNvPr>
        <xdr:cNvSpPr/>
      </xdr:nvSpPr>
      <xdr:spPr>
        <a:xfrm>
          <a:off x="14457652" y="12553273"/>
          <a:ext cx="781922" cy="1635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3714EE6-96B6-4C97-ACD3-0FE04BF5187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>
    <xdr:from>
      <xdr:col>18</xdr:col>
      <xdr:colOff>653297</xdr:colOff>
      <xdr:row>68</xdr:row>
      <xdr:rowOff>173566</xdr:rowOff>
    </xdr:from>
    <xdr:to>
      <xdr:col>18</xdr:col>
      <xdr:colOff>1432348</xdr:colOff>
      <xdr:row>69</xdr:row>
      <xdr:rowOff>150161</xdr:rowOff>
    </xdr:to>
    <xdr:sp macro="" textlink="dim_egout_long">
      <xdr:nvSpPr>
        <xdr:cNvPr id="47" name="Rectangle 46">
          <a:extLst>
            <a:ext uri="{FF2B5EF4-FFF2-40B4-BE49-F238E27FC236}">
              <a16:creationId xmlns:a16="http://schemas.microsoft.com/office/drawing/2014/main" id="{8E460B15-93D8-CA84-841C-663EBEBEB04C}"/>
            </a:ext>
          </a:extLst>
        </xdr:cNvPr>
        <xdr:cNvSpPr/>
      </xdr:nvSpPr>
      <xdr:spPr>
        <a:xfrm>
          <a:off x="12801335" y="12578047"/>
          <a:ext cx="779051" cy="1597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D6311E8-0D74-4484-9A83-B838DBDE86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10,0m</a:t>
          </a:fld>
          <a:endParaRPr lang="en-US" sz="1100"/>
        </a:p>
      </xdr:txBody>
    </xdr:sp>
    <xdr:clientData/>
  </xdr:twoCellAnchor>
  <xdr:twoCellAnchor>
    <xdr:from>
      <xdr:col>17</xdr:col>
      <xdr:colOff>8821</xdr:colOff>
      <xdr:row>62</xdr:row>
      <xdr:rowOff>92763</xdr:rowOff>
    </xdr:from>
    <xdr:to>
      <xdr:col>20</xdr:col>
      <xdr:colOff>18526</xdr:colOff>
      <xdr:row>62</xdr:row>
      <xdr:rowOff>98410</xdr:rowOff>
    </xdr:to>
    <xdr:cxnSp macro="">
      <xdr:nvCxnSpPr>
        <xdr:cNvPr id="48" name="Connecteur droit avec flèche 47">
          <a:extLst>
            <a:ext uri="{FF2B5EF4-FFF2-40B4-BE49-F238E27FC236}">
              <a16:creationId xmlns:a16="http://schemas.microsoft.com/office/drawing/2014/main" id="{365B4C8F-B60B-BB56-5AA1-C6CFDBF9537B}"/>
            </a:ext>
          </a:extLst>
        </xdr:cNvPr>
        <xdr:cNvCxnSpPr/>
      </xdr:nvCxnSpPr>
      <xdr:spPr>
        <a:xfrm>
          <a:off x="11966359" y="11398205"/>
          <a:ext cx="2676705" cy="564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795895</xdr:colOff>
      <xdr:row>61</xdr:row>
      <xdr:rowOff>94351</xdr:rowOff>
    </xdr:from>
    <xdr:to>
      <xdr:col>18</xdr:col>
      <xdr:colOff>1562577</xdr:colOff>
      <xdr:row>62</xdr:row>
      <xdr:rowOff>65231</xdr:rowOff>
    </xdr:to>
    <xdr:sp macro="" textlink="Dim_centre_long">
      <xdr:nvSpPr>
        <xdr:cNvPr id="49" name="Rectangle 48">
          <a:extLst>
            <a:ext uri="{FF2B5EF4-FFF2-40B4-BE49-F238E27FC236}">
              <a16:creationId xmlns:a16="http://schemas.microsoft.com/office/drawing/2014/main" id="{5AB2C413-3780-001E-52AC-4FC856B32725}"/>
            </a:ext>
          </a:extLst>
        </xdr:cNvPr>
        <xdr:cNvSpPr/>
      </xdr:nvSpPr>
      <xdr:spPr>
        <a:xfrm>
          <a:off x="12943933" y="11216620"/>
          <a:ext cx="766682" cy="15405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F981604-B5D7-4F18-843B-94739DAA24D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16,0m</a:t>
          </a:fld>
          <a:endParaRPr lang="en-US" sz="1100"/>
        </a:p>
      </xdr:txBody>
    </xdr:sp>
    <xdr:clientData/>
  </xdr:twoCellAnchor>
  <xdr:twoCellAnchor>
    <xdr:from>
      <xdr:col>15</xdr:col>
      <xdr:colOff>659845</xdr:colOff>
      <xdr:row>63</xdr:row>
      <xdr:rowOff>168227</xdr:rowOff>
    </xdr:from>
    <xdr:to>
      <xdr:col>15</xdr:col>
      <xdr:colOff>666750</xdr:colOff>
      <xdr:row>66</xdr:row>
      <xdr:rowOff>171260</xdr:rowOff>
    </xdr:to>
    <xdr:cxnSp macro="">
      <xdr:nvCxnSpPr>
        <xdr:cNvPr id="50" name="Connecteur droit avec flèche 49">
          <a:extLst>
            <a:ext uri="{FF2B5EF4-FFF2-40B4-BE49-F238E27FC236}">
              <a16:creationId xmlns:a16="http://schemas.microsoft.com/office/drawing/2014/main" id="{60DC8FCE-DAAB-96E6-553C-171675A1C2BF}"/>
            </a:ext>
          </a:extLst>
        </xdr:cNvPr>
        <xdr:cNvCxnSpPr/>
      </xdr:nvCxnSpPr>
      <xdr:spPr>
        <a:xfrm flipH="1">
          <a:off x="11254576" y="11656842"/>
          <a:ext cx="6905" cy="55255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441745</xdr:colOff>
      <xdr:row>63</xdr:row>
      <xdr:rowOff>35003</xdr:rowOff>
    </xdr:from>
    <xdr:to>
      <xdr:col>15</xdr:col>
      <xdr:colOff>604176</xdr:colOff>
      <xdr:row>67</xdr:row>
      <xdr:rowOff>56435</xdr:rowOff>
    </xdr:to>
    <xdr:sp macro="" textlink="toit_dim_e4">
      <xdr:nvSpPr>
        <xdr:cNvPr id="51" name="Rectangle 50">
          <a:extLst>
            <a:ext uri="{FF2B5EF4-FFF2-40B4-BE49-F238E27FC236}">
              <a16:creationId xmlns:a16="http://schemas.microsoft.com/office/drawing/2014/main" id="{3EA4530E-953C-E9A4-EFC4-54513962E523}"/>
            </a:ext>
          </a:extLst>
        </xdr:cNvPr>
        <xdr:cNvSpPr/>
      </xdr:nvSpPr>
      <xdr:spPr>
        <a:xfrm rot="16200000">
          <a:off x="10740629" y="11819465"/>
          <a:ext cx="754125" cy="1624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488768-7C6D-4012-B941-6989575A092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>
    <xdr:from>
      <xdr:col>12</xdr:col>
      <xdr:colOff>1774516</xdr:colOff>
      <xdr:row>64</xdr:row>
      <xdr:rowOff>175576</xdr:rowOff>
    </xdr:from>
    <xdr:to>
      <xdr:col>12</xdr:col>
      <xdr:colOff>1775231</xdr:colOff>
      <xdr:row>66</xdr:row>
      <xdr:rowOff>151210</xdr:rowOff>
    </xdr:to>
    <xdr:cxnSp macro="">
      <xdr:nvCxnSpPr>
        <xdr:cNvPr id="53" name="Connecteur droit avec flèche 52">
          <a:extLst>
            <a:ext uri="{FF2B5EF4-FFF2-40B4-BE49-F238E27FC236}">
              <a16:creationId xmlns:a16="http://schemas.microsoft.com/office/drawing/2014/main" id="{50C2D841-50A0-8001-897D-3657ECA4DC36}"/>
            </a:ext>
          </a:extLst>
        </xdr:cNvPr>
        <xdr:cNvCxnSpPr/>
      </xdr:nvCxnSpPr>
      <xdr:spPr>
        <a:xfrm>
          <a:off x="9991547" y="11943370"/>
          <a:ext cx="715" cy="33699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1810776</xdr:colOff>
      <xdr:row>63</xdr:row>
      <xdr:rowOff>158033</xdr:rowOff>
    </xdr:from>
    <xdr:to>
      <xdr:col>12</xdr:col>
      <xdr:colOff>1967492</xdr:colOff>
      <xdr:row>67</xdr:row>
      <xdr:rowOff>175654</xdr:rowOff>
    </xdr:to>
    <xdr:sp macro="" textlink="toit_dim_e10">
      <xdr:nvSpPr>
        <xdr:cNvPr id="54" name="Rectangle 53">
          <a:extLst>
            <a:ext uri="{FF2B5EF4-FFF2-40B4-BE49-F238E27FC236}">
              <a16:creationId xmlns:a16="http://schemas.microsoft.com/office/drawing/2014/main" id="{E47E53D0-4AD2-F4E7-362F-135A76906431}"/>
            </a:ext>
          </a:extLst>
        </xdr:cNvPr>
        <xdr:cNvSpPr/>
      </xdr:nvSpPr>
      <xdr:spPr>
        <a:xfrm rot="16200000">
          <a:off x="9735993" y="12036960"/>
          <a:ext cx="740343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7C75BB0-7DC6-4847-9014-C9281FEDF6E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2,0m</a:t>
          </a:fld>
          <a:endParaRPr lang="en-US" sz="1100"/>
        </a:p>
      </xdr:txBody>
    </xdr:sp>
    <xdr:clientData/>
  </xdr:twoCellAnchor>
  <xdr:twoCellAnchor>
    <xdr:from>
      <xdr:col>18</xdr:col>
      <xdr:colOff>503104</xdr:colOff>
      <xdr:row>55</xdr:row>
      <xdr:rowOff>0</xdr:rowOff>
    </xdr:from>
    <xdr:to>
      <xdr:col>18</xdr:col>
      <xdr:colOff>505811</xdr:colOff>
      <xdr:row>64</xdr:row>
      <xdr:rowOff>182008</xdr:rowOff>
    </xdr:to>
    <xdr:cxnSp macro="">
      <xdr:nvCxnSpPr>
        <xdr:cNvPr id="57" name="Connecteur droit avec flèche 56">
          <a:extLst>
            <a:ext uri="{FF2B5EF4-FFF2-40B4-BE49-F238E27FC236}">
              <a16:creationId xmlns:a16="http://schemas.microsoft.com/office/drawing/2014/main" id="{5CB8B849-74E2-C710-057D-D9B64B8738E7}"/>
            </a:ext>
          </a:extLst>
        </xdr:cNvPr>
        <xdr:cNvCxnSpPr/>
      </xdr:nvCxnSpPr>
      <xdr:spPr>
        <a:xfrm flipH="1">
          <a:off x="12642552" y="10057086"/>
          <a:ext cx="2707" cy="183738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290331</xdr:colOff>
      <xdr:row>57</xdr:row>
      <xdr:rowOff>145898</xdr:rowOff>
    </xdr:from>
    <xdr:to>
      <xdr:col>18</xdr:col>
      <xdr:colOff>452762</xdr:colOff>
      <xdr:row>62</xdr:row>
      <xdr:rowOff>545</xdr:rowOff>
    </xdr:to>
    <xdr:sp macro="" textlink="Dim_centre_haut_BP">
      <xdr:nvSpPr>
        <xdr:cNvPr id="58" name="Rectangle 57">
          <a:extLst>
            <a:ext uri="{FF2B5EF4-FFF2-40B4-BE49-F238E27FC236}">
              <a16:creationId xmlns:a16="http://schemas.microsoft.com/office/drawing/2014/main" id="{EB1DB28F-55B6-6B8A-C715-442F72F4B8F9}"/>
            </a:ext>
          </a:extLst>
        </xdr:cNvPr>
        <xdr:cNvSpPr/>
      </xdr:nvSpPr>
      <xdr:spPr>
        <a:xfrm rot="16200000">
          <a:off x="12123844" y="10876781"/>
          <a:ext cx="774302" cy="1624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CA4B14-510E-4F58-8529-E743D1F2C2A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7,0m</a:t>
          </a:fld>
          <a:endParaRPr lang="en-US" sz="1100"/>
        </a:p>
      </xdr:txBody>
    </xdr:sp>
    <xdr:clientData/>
  </xdr:twoCellAnchor>
  <xdr:twoCellAnchor>
    <xdr:from>
      <xdr:col>16</xdr:col>
      <xdr:colOff>7598</xdr:colOff>
      <xdr:row>57</xdr:row>
      <xdr:rowOff>114071</xdr:rowOff>
    </xdr:from>
    <xdr:to>
      <xdr:col>17</xdr:col>
      <xdr:colOff>23482</xdr:colOff>
      <xdr:row>57</xdr:row>
      <xdr:rowOff>114360</xdr:rowOff>
    </xdr:to>
    <xdr:cxnSp macro="">
      <xdr:nvCxnSpPr>
        <xdr:cNvPr id="60" name="Connecteur droit avec flèche 59">
          <a:extLst>
            <a:ext uri="{FF2B5EF4-FFF2-40B4-BE49-F238E27FC236}">
              <a16:creationId xmlns:a16="http://schemas.microsoft.com/office/drawing/2014/main" id="{15A54EE9-904C-645D-3B31-7FDF46B44D97}"/>
            </a:ext>
          </a:extLst>
        </xdr:cNvPr>
        <xdr:cNvCxnSpPr/>
      </xdr:nvCxnSpPr>
      <xdr:spPr>
        <a:xfrm>
          <a:off x="11385046" y="10539019"/>
          <a:ext cx="587384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701266</xdr:colOff>
      <xdr:row>57</xdr:row>
      <xdr:rowOff>134617</xdr:rowOff>
    </xdr:from>
    <xdr:to>
      <xdr:col>17</xdr:col>
      <xdr:colOff>119602</xdr:colOff>
      <xdr:row>58</xdr:row>
      <xdr:rowOff>111212</xdr:rowOff>
    </xdr:to>
    <xdr:sp macro="" textlink="toit_dim_e10">
      <xdr:nvSpPr>
        <xdr:cNvPr id="61" name="Rectangle 60">
          <a:extLst>
            <a:ext uri="{FF2B5EF4-FFF2-40B4-BE49-F238E27FC236}">
              <a16:creationId xmlns:a16="http://schemas.microsoft.com/office/drawing/2014/main" id="{698D1D62-6C27-FB24-ED56-BA075B1E5953}"/>
            </a:ext>
          </a:extLst>
        </xdr:cNvPr>
        <xdr:cNvSpPr/>
      </xdr:nvSpPr>
      <xdr:spPr>
        <a:xfrm>
          <a:off x="11290438" y="10559565"/>
          <a:ext cx="778112" cy="1605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E1A30D8-7F74-438A-8334-E6D92259D59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2,0m</a:t>
          </a:fld>
          <a:endParaRPr lang="en-US" sz="1100"/>
        </a:p>
      </xdr:txBody>
    </xdr:sp>
    <xdr:clientData/>
  </xdr:twoCellAnchor>
  <xdr:twoCellAnchor>
    <xdr:from>
      <xdr:col>20</xdr:col>
      <xdr:colOff>2935</xdr:colOff>
      <xdr:row>57</xdr:row>
      <xdr:rowOff>166622</xdr:rowOff>
    </xdr:from>
    <xdr:to>
      <xdr:col>21</xdr:col>
      <xdr:colOff>13104</xdr:colOff>
      <xdr:row>57</xdr:row>
      <xdr:rowOff>166911</xdr:rowOff>
    </xdr:to>
    <xdr:cxnSp macro="">
      <xdr:nvCxnSpPr>
        <xdr:cNvPr id="62" name="Connecteur droit avec flèche 61">
          <a:extLst>
            <a:ext uri="{FF2B5EF4-FFF2-40B4-BE49-F238E27FC236}">
              <a16:creationId xmlns:a16="http://schemas.microsoft.com/office/drawing/2014/main" id="{61C0F32D-33F7-6808-E26C-FB577CC43823}"/>
            </a:ext>
          </a:extLst>
        </xdr:cNvPr>
        <xdr:cNvCxnSpPr/>
      </xdr:nvCxnSpPr>
      <xdr:spPr>
        <a:xfrm>
          <a:off x="14618883" y="10591570"/>
          <a:ext cx="58166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100732</xdr:colOff>
      <xdr:row>57</xdr:row>
      <xdr:rowOff>183358</xdr:rowOff>
    </xdr:from>
    <xdr:to>
      <xdr:col>21</xdr:col>
      <xdr:colOff>114939</xdr:colOff>
      <xdr:row>58</xdr:row>
      <xdr:rowOff>163763</xdr:rowOff>
    </xdr:to>
    <xdr:sp macro="" textlink="toit_dim_e10">
      <xdr:nvSpPr>
        <xdr:cNvPr id="63" name="Rectangle 62">
          <a:extLst>
            <a:ext uri="{FF2B5EF4-FFF2-40B4-BE49-F238E27FC236}">
              <a16:creationId xmlns:a16="http://schemas.microsoft.com/office/drawing/2014/main" id="{4F744A06-C4F6-3638-3D85-5D7F76D627C6}"/>
            </a:ext>
          </a:extLst>
        </xdr:cNvPr>
        <xdr:cNvSpPr/>
      </xdr:nvSpPr>
      <xdr:spPr>
        <a:xfrm>
          <a:off x="14526180" y="10608306"/>
          <a:ext cx="776207" cy="1643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E1A30D8-7F74-438A-8334-E6D92259D59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2,0m</a:t>
          </a:fld>
          <a:endParaRPr lang="en-US" sz="1100"/>
        </a:p>
      </xdr:txBody>
    </xdr:sp>
    <xdr:clientData/>
  </xdr:twoCellAnchor>
  <xdr:twoCellAnchor>
    <xdr:from>
      <xdr:col>21</xdr:col>
      <xdr:colOff>347329</xdr:colOff>
      <xdr:row>55</xdr:row>
      <xdr:rowOff>2284</xdr:rowOff>
    </xdr:from>
    <xdr:to>
      <xdr:col>21</xdr:col>
      <xdr:colOff>353898</xdr:colOff>
      <xdr:row>67</xdr:row>
      <xdr:rowOff>2284</xdr:rowOff>
    </xdr:to>
    <xdr:cxnSp macro="">
      <xdr:nvCxnSpPr>
        <xdr:cNvPr id="66" name="Connecteur droit avec flèche 65">
          <a:extLst>
            <a:ext uri="{FF2B5EF4-FFF2-40B4-BE49-F238E27FC236}">
              <a16:creationId xmlns:a16="http://schemas.microsoft.com/office/drawing/2014/main" id="{F515796D-0492-4D12-8E01-54CF80863B5F}"/>
            </a:ext>
          </a:extLst>
        </xdr:cNvPr>
        <xdr:cNvCxnSpPr/>
      </xdr:nvCxnSpPr>
      <xdr:spPr>
        <a:xfrm>
          <a:off x="16215783" y="10143954"/>
          <a:ext cx="6569" cy="216816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99811</xdr:colOff>
      <xdr:row>58</xdr:row>
      <xdr:rowOff>130889</xdr:rowOff>
    </xdr:from>
    <xdr:to>
      <xdr:col>21</xdr:col>
      <xdr:colOff>252717</xdr:colOff>
      <xdr:row>62</xdr:row>
      <xdr:rowOff>169216</xdr:rowOff>
    </xdr:to>
    <xdr:sp macro="" textlink="toit_larg">
      <xdr:nvSpPr>
        <xdr:cNvPr id="67" name="Rectangle 66">
          <a:extLst>
            <a:ext uri="{FF2B5EF4-FFF2-40B4-BE49-F238E27FC236}">
              <a16:creationId xmlns:a16="http://schemas.microsoft.com/office/drawing/2014/main" id="{D920F14B-9257-14AA-CAD6-06846C51AF3E}"/>
            </a:ext>
          </a:extLst>
        </xdr:cNvPr>
        <xdr:cNvSpPr/>
      </xdr:nvSpPr>
      <xdr:spPr>
        <a:xfrm rot="16200000">
          <a:off x="15664193" y="11118672"/>
          <a:ext cx="761049" cy="1529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4748F8E-D705-4A17-9514-DB4E3889DA9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9 m</a:t>
          </a:fld>
          <a:endParaRPr lang="en-US" sz="1100"/>
        </a:p>
      </xdr:txBody>
    </xdr:sp>
    <xdr:clientData/>
  </xdr:twoCellAnchor>
  <xdr:twoCellAnchor>
    <xdr:from>
      <xdr:col>9</xdr:col>
      <xdr:colOff>722271</xdr:colOff>
      <xdr:row>64</xdr:row>
      <xdr:rowOff>3517</xdr:rowOff>
    </xdr:from>
    <xdr:to>
      <xdr:col>9</xdr:col>
      <xdr:colOff>722271</xdr:colOff>
      <xdr:row>67</xdr:row>
      <xdr:rowOff>6550</xdr:rowOff>
    </xdr:to>
    <xdr:cxnSp macro="">
      <xdr:nvCxnSpPr>
        <xdr:cNvPr id="68" name="Connecteur droit avec flèche 67">
          <a:extLst>
            <a:ext uri="{FF2B5EF4-FFF2-40B4-BE49-F238E27FC236}">
              <a16:creationId xmlns:a16="http://schemas.microsoft.com/office/drawing/2014/main" id="{8B15CDC1-3617-C056-6815-52DADA4034E6}"/>
            </a:ext>
          </a:extLst>
        </xdr:cNvPr>
        <xdr:cNvCxnSpPr/>
      </xdr:nvCxnSpPr>
      <xdr:spPr>
        <a:xfrm flipH="1">
          <a:off x="6715694" y="11675305"/>
          <a:ext cx="0" cy="55255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496551</xdr:colOff>
      <xdr:row>63</xdr:row>
      <xdr:rowOff>49656</xdr:rowOff>
    </xdr:from>
    <xdr:to>
      <xdr:col>9</xdr:col>
      <xdr:colOff>660887</xdr:colOff>
      <xdr:row>67</xdr:row>
      <xdr:rowOff>74898</xdr:rowOff>
    </xdr:to>
    <xdr:sp macro="" textlink="toit_dim_e4">
      <xdr:nvSpPr>
        <xdr:cNvPr id="69" name="Rectangle 68">
          <a:extLst>
            <a:ext uri="{FF2B5EF4-FFF2-40B4-BE49-F238E27FC236}">
              <a16:creationId xmlns:a16="http://schemas.microsoft.com/office/drawing/2014/main" id="{A4C4A50A-18B6-067E-AE06-8A990ADFFF99}"/>
            </a:ext>
          </a:extLst>
        </xdr:cNvPr>
        <xdr:cNvSpPr/>
      </xdr:nvSpPr>
      <xdr:spPr>
        <a:xfrm rot="16200000">
          <a:off x="6193174" y="11835071"/>
          <a:ext cx="757935" cy="1643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488768-7C6D-4012-B941-6989575A092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 editAs="oneCell">
    <xdr:from>
      <xdr:col>10</xdr:col>
      <xdr:colOff>56583</xdr:colOff>
      <xdr:row>40</xdr:row>
      <xdr:rowOff>172520</xdr:rowOff>
    </xdr:from>
    <xdr:to>
      <xdr:col>17</xdr:col>
      <xdr:colOff>54301</xdr:colOff>
      <xdr:row>49</xdr:row>
      <xdr:rowOff>212575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EBC5DEC-25EC-9E64-FC07-30C98C5E2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7969" y="6726852"/>
          <a:ext cx="5186599" cy="2009165"/>
        </a:xfrm>
        <a:prstGeom prst="rect">
          <a:avLst/>
        </a:prstGeom>
      </xdr:spPr>
    </xdr:pic>
    <xdr:clientData/>
  </xdr:twoCellAnchor>
  <xdr:twoCellAnchor editAs="oneCell">
    <xdr:from>
      <xdr:col>12</xdr:col>
      <xdr:colOff>15088</xdr:colOff>
      <xdr:row>2</xdr:row>
      <xdr:rowOff>111761</xdr:rowOff>
    </xdr:from>
    <xdr:to>
      <xdr:col>16</xdr:col>
      <xdr:colOff>365112</xdr:colOff>
      <xdr:row>10</xdr:row>
      <xdr:rowOff>21835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D3D542C-F635-599D-5C64-DD3B7B9E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448" y="843281"/>
          <a:ext cx="4196854" cy="1359779"/>
        </a:xfrm>
        <a:prstGeom prst="rect">
          <a:avLst/>
        </a:prstGeom>
      </xdr:spPr>
    </xdr:pic>
    <xdr:clientData/>
  </xdr:twoCellAnchor>
  <xdr:twoCellAnchor editAs="oneCell">
    <xdr:from>
      <xdr:col>5</xdr:col>
      <xdr:colOff>289468</xdr:colOff>
      <xdr:row>2</xdr:row>
      <xdr:rowOff>16083</xdr:rowOff>
    </xdr:from>
    <xdr:to>
      <xdr:col>8</xdr:col>
      <xdr:colOff>135964</xdr:colOff>
      <xdr:row>12</xdr:row>
      <xdr:rowOff>130181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7A450B4-F739-EDAF-2672-83F587D50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07088" y="747603"/>
          <a:ext cx="1983271" cy="1932738"/>
        </a:xfrm>
        <a:prstGeom prst="rect">
          <a:avLst/>
        </a:prstGeom>
      </xdr:spPr>
    </xdr:pic>
    <xdr:clientData/>
  </xdr:twoCellAnchor>
  <xdr:twoCellAnchor editAs="oneCell">
    <xdr:from>
      <xdr:col>8</xdr:col>
      <xdr:colOff>140643</xdr:colOff>
      <xdr:row>2</xdr:row>
      <xdr:rowOff>16077</xdr:rowOff>
    </xdr:from>
    <xdr:to>
      <xdr:col>10</xdr:col>
      <xdr:colOff>360882</xdr:colOff>
      <xdr:row>12</xdr:row>
      <xdr:rowOff>75855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DBE990E-AC76-1F75-7DAA-E67AA78C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79761" y="553959"/>
          <a:ext cx="1736843" cy="185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18792</xdr:colOff>
      <xdr:row>13</xdr:row>
      <xdr:rowOff>166658</xdr:rowOff>
    </xdr:from>
    <xdr:to>
      <xdr:col>12</xdr:col>
      <xdr:colOff>778265</xdr:colOff>
      <xdr:row>20</xdr:row>
      <xdr:rowOff>110599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89BB131-49A6-213E-2095-DB2DC921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72105" y="2857471"/>
          <a:ext cx="1514488" cy="1015503"/>
        </a:xfrm>
        <a:prstGeom prst="rect">
          <a:avLst/>
        </a:prstGeom>
      </xdr:spPr>
    </xdr:pic>
    <xdr:clientData/>
  </xdr:twoCellAnchor>
  <xdr:twoCellAnchor editAs="oneCell">
    <xdr:from>
      <xdr:col>12</xdr:col>
      <xdr:colOff>1064390</xdr:colOff>
      <xdr:row>13</xdr:row>
      <xdr:rowOff>170005</xdr:rowOff>
    </xdr:from>
    <xdr:to>
      <xdr:col>14</xdr:col>
      <xdr:colOff>136026</xdr:colOff>
      <xdr:row>20</xdr:row>
      <xdr:rowOff>97996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D6BDDD8-03B0-C6FA-5D0F-F51090C7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79703" y="2860818"/>
          <a:ext cx="1534801" cy="992568"/>
        </a:xfrm>
        <a:prstGeom prst="rect">
          <a:avLst/>
        </a:prstGeom>
      </xdr:spPr>
    </xdr:pic>
    <xdr:clientData/>
  </xdr:twoCellAnchor>
  <xdr:twoCellAnchor>
    <xdr:from>
      <xdr:col>9</xdr:col>
      <xdr:colOff>722271</xdr:colOff>
      <xdr:row>54</xdr:row>
      <xdr:rowOff>160630</xdr:rowOff>
    </xdr:from>
    <xdr:to>
      <xdr:col>9</xdr:col>
      <xdr:colOff>722271</xdr:colOff>
      <xdr:row>57</xdr:row>
      <xdr:rowOff>163663</xdr:rowOff>
    </xdr:to>
    <xdr:cxnSp macro="">
      <xdr:nvCxnSpPr>
        <xdr:cNvPr id="17" name="Connecteur droit avec flèche 16">
          <a:extLst>
            <a:ext uri="{FF2B5EF4-FFF2-40B4-BE49-F238E27FC236}">
              <a16:creationId xmlns:a16="http://schemas.microsoft.com/office/drawing/2014/main" id="{E56DC493-3252-BE0B-10F9-C374A21ADA69}"/>
            </a:ext>
          </a:extLst>
        </xdr:cNvPr>
        <xdr:cNvCxnSpPr/>
      </xdr:nvCxnSpPr>
      <xdr:spPr>
        <a:xfrm flipH="1">
          <a:off x="7383879" y="10121620"/>
          <a:ext cx="0" cy="54507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496551</xdr:colOff>
      <xdr:row>54</xdr:row>
      <xdr:rowOff>26088</xdr:rowOff>
    </xdr:from>
    <xdr:to>
      <xdr:col>9</xdr:col>
      <xdr:colOff>660887</xdr:colOff>
      <xdr:row>58</xdr:row>
      <xdr:rowOff>51331</xdr:rowOff>
    </xdr:to>
    <xdr:sp macro="" textlink="toit_dim_e4">
      <xdr:nvSpPr>
        <xdr:cNvPr id="19" name="Rectangle 18">
          <a:extLst>
            <a:ext uri="{FF2B5EF4-FFF2-40B4-BE49-F238E27FC236}">
              <a16:creationId xmlns:a16="http://schemas.microsoft.com/office/drawing/2014/main" id="{657E34D5-5E90-C04A-C86A-F6FFF4CA830D}"/>
            </a:ext>
          </a:extLst>
        </xdr:cNvPr>
        <xdr:cNvSpPr/>
      </xdr:nvSpPr>
      <xdr:spPr>
        <a:xfrm rot="16200000">
          <a:off x="6866345" y="10278892"/>
          <a:ext cx="747964" cy="1643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488768-7C6D-4012-B941-6989575A092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5,0m</a:t>
          </a:fld>
          <a:endParaRPr lang="en-US" sz="1100"/>
        </a:p>
      </xdr:txBody>
    </xdr:sp>
    <xdr:clientData/>
  </xdr:twoCellAnchor>
  <xdr:twoCellAnchor>
    <xdr:from>
      <xdr:col>12</xdr:col>
      <xdr:colOff>1703816</xdr:colOff>
      <xdr:row>55</xdr:row>
      <xdr:rowOff>18464</xdr:rowOff>
    </xdr:from>
    <xdr:to>
      <xdr:col>12</xdr:col>
      <xdr:colOff>1704531</xdr:colOff>
      <xdr:row>56</xdr:row>
      <xdr:rowOff>174778</xdr:rowOff>
    </xdr:to>
    <xdr:cxnSp macro="">
      <xdr:nvCxnSpPr>
        <xdr:cNvPr id="20" name="Connecteur droit avec flèche 19">
          <a:extLst>
            <a:ext uri="{FF2B5EF4-FFF2-40B4-BE49-F238E27FC236}">
              <a16:creationId xmlns:a16="http://schemas.microsoft.com/office/drawing/2014/main" id="{A8BEEB8E-F05E-2FB1-C7DE-E5868978BE7F}"/>
            </a:ext>
          </a:extLst>
        </xdr:cNvPr>
        <xdr:cNvCxnSpPr/>
      </xdr:nvCxnSpPr>
      <xdr:spPr>
        <a:xfrm>
          <a:off x="9920847" y="10160134"/>
          <a:ext cx="715" cy="33699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1740076</xdr:colOff>
      <xdr:row>54</xdr:row>
      <xdr:rowOff>920</xdr:rowOff>
    </xdr:from>
    <xdr:to>
      <xdr:col>12</xdr:col>
      <xdr:colOff>1896792</xdr:colOff>
      <xdr:row>58</xdr:row>
      <xdr:rowOff>18542</xdr:rowOff>
    </xdr:to>
    <xdr:sp macro="" textlink="toit_dim_e10">
      <xdr:nvSpPr>
        <xdr:cNvPr id="22" name="Rectangle 21">
          <a:extLst>
            <a:ext uri="{FF2B5EF4-FFF2-40B4-BE49-F238E27FC236}">
              <a16:creationId xmlns:a16="http://schemas.microsoft.com/office/drawing/2014/main" id="{7D2BD8D9-1F4A-421D-A39F-CF816E8030FB}"/>
            </a:ext>
          </a:extLst>
        </xdr:cNvPr>
        <xdr:cNvSpPr/>
      </xdr:nvSpPr>
      <xdr:spPr>
        <a:xfrm rot="16200000">
          <a:off x="9665293" y="10253724"/>
          <a:ext cx="740343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7C75BB0-7DC6-4847-9014-C9281FEDF6E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2,0m</a:t>
          </a:fld>
          <a:endParaRPr lang="en-US" sz="1100"/>
        </a:p>
      </xdr:txBody>
    </xdr:sp>
    <xdr:clientData/>
  </xdr:twoCellAnchor>
  <xdr:twoCellAnchor>
    <xdr:from>
      <xdr:col>18</xdr:col>
      <xdr:colOff>1846454</xdr:colOff>
      <xdr:row>65</xdr:row>
      <xdr:rowOff>13131</xdr:rowOff>
    </xdr:from>
    <xdr:to>
      <xdr:col>18</xdr:col>
      <xdr:colOff>1847169</xdr:colOff>
      <xdr:row>66</xdr:row>
      <xdr:rowOff>161825</xdr:rowOff>
    </xdr:to>
    <xdr:cxnSp macro="">
      <xdr:nvCxnSpPr>
        <xdr:cNvPr id="32" name="Connecteur droit avec flèche 31">
          <a:extLst>
            <a:ext uri="{FF2B5EF4-FFF2-40B4-BE49-F238E27FC236}">
              <a16:creationId xmlns:a16="http://schemas.microsoft.com/office/drawing/2014/main" id="{B2DFC225-789D-51F3-2DAF-4F77855EEAA8}"/>
            </a:ext>
          </a:extLst>
        </xdr:cNvPr>
        <xdr:cNvCxnSpPr/>
      </xdr:nvCxnSpPr>
      <xdr:spPr>
        <a:xfrm>
          <a:off x="14666908" y="11961605"/>
          <a:ext cx="715" cy="3293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1882714</xdr:colOff>
      <xdr:row>63</xdr:row>
      <xdr:rowOff>172458</xdr:rowOff>
    </xdr:from>
    <xdr:to>
      <xdr:col>18</xdr:col>
      <xdr:colOff>2031810</xdr:colOff>
      <xdr:row>68</xdr:row>
      <xdr:rowOff>13209</xdr:rowOff>
    </xdr:to>
    <xdr:sp macro="" textlink="toit_dim_e10">
      <xdr:nvSpPr>
        <xdr:cNvPr id="35" name="Rectangle 34">
          <a:extLst>
            <a:ext uri="{FF2B5EF4-FFF2-40B4-BE49-F238E27FC236}">
              <a16:creationId xmlns:a16="http://schemas.microsoft.com/office/drawing/2014/main" id="{442F3D3B-7F4D-0F5E-54FC-DD63F180730D}"/>
            </a:ext>
          </a:extLst>
        </xdr:cNvPr>
        <xdr:cNvSpPr/>
      </xdr:nvSpPr>
      <xdr:spPr>
        <a:xfrm rot="16200000">
          <a:off x="14405639" y="12057100"/>
          <a:ext cx="744153" cy="1490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7C75BB0-7DC6-4847-9014-C9281FEDF6E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2,0m</a:t>
          </a:fld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360269</xdr:colOff>
      <xdr:row>0</xdr:row>
      <xdr:rowOff>27230</xdr:rowOff>
    </xdr:from>
    <xdr:to>
      <xdr:col>5</xdr:col>
      <xdr:colOff>609408</xdr:colOff>
      <xdr:row>1</xdr:row>
      <xdr:rowOff>135098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2D66BBC-F086-477F-9328-059B9774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0814" y="27230"/>
          <a:ext cx="1011139" cy="2841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13</xdr:col>
      <xdr:colOff>359229</xdr:colOff>
      <xdr:row>14</xdr:row>
      <xdr:rowOff>32657</xdr:rowOff>
    </xdr:from>
    <xdr:ext cx="1389531" cy="5042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𝒆</m:t>
                        </m:r>
                      </m:sub>
                    </m:sSub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  <m:r>
                          <a:rPr lang="fr-FR" sz="1200" b="1" i="1">
                            <a:latin typeface="Cambria Math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𝒑𝒆</m:t>
                        </m:r>
                      </m:sub>
                    </m:sSub>
                  </m:oMath>
                </m:oMathPara>
              </a14:m>
              <a:endParaRPr lang="fr-FR" sz="1200" b="1"/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𝒊</m:t>
                        </m:r>
                      </m:sub>
                    </m:sSub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</m:t>
                        </m:r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𝒑𝒊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𝒘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𝒆=𝒒</a:t>
              </a:r>
              <a:r>
                <a:rPr lang="fr-FR" sz="1200" b="1" i="0">
                  <a:latin typeface="Cambria Math" panose="02040503050406030204" pitchFamily="18" charset="0"/>
                </a:rPr>
                <a:t>_(</a:t>
              </a:r>
              <a:r>
                <a:rPr lang="fr-FR" sz="1200" b="1" i="0">
                  <a:latin typeface="Cambria Math"/>
                </a:rPr>
                <a:t>𝒑 </a:t>
              </a:r>
              <a:r>
                <a:rPr lang="fr-FR" sz="1200" b="1" i="0">
                  <a:latin typeface="Cambria Math" panose="02040503050406030204" pitchFamily="18" charset="0"/>
                </a:rPr>
                <a:t>)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 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𝒑𝒆</a:t>
              </a:r>
              <a:endParaRPr lang="fr-FR" sz="1200" b="1"/>
            </a:p>
            <a:p>
              <a:pPr/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𝒘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𝒊=𝒒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 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 𝒄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𝒑𝒊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15</xdr:col>
      <xdr:colOff>398935</xdr:colOff>
      <xdr:row>14</xdr:row>
      <xdr:rowOff>151193</xdr:rowOff>
    </xdr:from>
    <xdr:ext cx="2812677" cy="32124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𝒆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)²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 panose="02040503050406030204" pitchFamily="18" charset="0"/>
                </a:rPr>
                <a:t>𝑪_𝒆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1" i="0">
                  <a:latin typeface="Cambria Math" panose="02040503050406030204" pitchFamily="18" charset="0"/>
                </a:rPr>
                <a:t>𝑪_𝒓</a:t>
              </a:r>
              <a:r>
                <a:rPr lang="fr-FR" sz="1200" b="1" i="0">
                  <a:latin typeface="Cambria Math"/>
                  <a:ea typeface="Cambria Math"/>
                </a:rPr>
                <a:t> (𝒛)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²</a:t>
              </a:r>
              <a:endParaRPr lang="fr-FR" sz="1200" b="1" i="1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740A8-4A32-4AA5-BA6B-0B9D097A492A}">
  <sheetPr codeName="Feuil1"/>
  <dimension ref="B1:U72"/>
  <sheetViews>
    <sheetView showGridLines="0" showZeros="0" tabSelected="1" zoomScale="120" zoomScaleNormal="85" workbookViewId="0">
      <selection activeCell="I26" sqref="I26"/>
    </sheetView>
  </sheetViews>
  <sheetFormatPr baseColWidth="10" defaultColWidth="11.5546875" defaultRowHeight="14.4" x14ac:dyDescent="0.3"/>
  <cols>
    <col min="1" max="1" width="2.6640625" customWidth="1"/>
    <col min="2" max="2" width="3.109375" customWidth="1"/>
    <col min="3" max="3" width="17.5546875" bestFit="1" customWidth="1"/>
    <col min="4" max="4" width="16.109375" customWidth="1"/>
    <col min="5" max="5" width="16.21875" customWidth="1"/>
    <col min="6" max="6" width="14.33203125" customWidth="1"/>
    <col min="7" max="7" width="4.33203125" customWidth="1"/>
    <col min="8" max="8" width="12.33203125" customWidth="1"/>
    <col min="9" max="9" width="10.44140625" bestFit="1" customWidth="1"/>
    <col min="11" max="11" width="8.33203125" customWidth="1"/>
    <col min="12" max="12" width="2.77734375" customWidth="1"/>
    <col min="13" max="13" width="33.33203125" customWidth="1"/>
    <col min="14" max="14" width="2.77734375" customWidth="1"/>
    <col min="15" max="15" width="8.33203125" customWidth="1"/>
    <col min="17" max="17" width="8.33203125" customWidth="1"/>
    <col min="18" max="18" width="2.77734375" customWidth="1"/>
    <col min="19" max="19" width="33.33203125" customWidth="1"/>
    <col min="20" max="20" width="2.77734375" customWidth="1"/>
    <col min="21" max="21" width="8.33203125" customWidth="1"/>
  </cols>
  <sheetData>
    <row r="1" spans="2:13" ht="28.8" customHeight="1" x14ac:dyDescent="0.3">
      <c r="E1" s="76" t="s">
        <v>83</v>
      </c>
    </row>
    <row r="2" spans="2:13" x14ac:dyDescent="0.3">
      <c r="E2" s="102" t="s">
        <v>129</v>
      </c>
      <c r="H2" s="426" t="s">
        <v>384</v>
      </c>
      <c r="J2" s="427" t="s">
        <v>385</v>
      </c>
      <c r="M2" s="429" t="s">
        <v>386</v>
      </c>
    </row>
    <row r="3" spans="2:13" x14ac:dyDescent="0.3">
      <c r="E3" s="102"/>
    </row>
    <row r="4" spans="2:13" x14ac:dyDescent="0.3">
      <c r="B4" s="64" t="s">
        <v>185</v>
      </c>
      <c r="E4" s="102"/>
    </row>
    <row r="5" spans="2:13" x14ac:dyDescent="0.3">
      <c r="C5" s="25" t="s">
        <v>139</v>
      </c>
      <c r="D5" s="165"/>
      <c r="E5" s="218"/>
    </row>
    <row r="6" spans="2:13" x14ac:dyDescent="0.3">
      <c r="D6" s="165"/>
      <c r="E6" s="218"/>
    </row>
    <row r="7" spans="2:13" x14ac:dyDescent="0.3">
      <c r="C7" s="25" t="s">
        <v>186</v>
      </c>
      <c r="D7" s="442" t="s">
        <v>212</v>
      </c>
      <c r="E7" s="102"/>
    </row>
    <row r="8" spans="2:13" x14ac:dyDescent="0.3">
      <c r="C8" s="25" t="s">
        <v>274</v>
      </c>
      <c r="D8" s="431" t="s">
        <v>259</v>
      </c>
      <c r="E8" s="102"/>
    </row>
    <row r="9" spans="2:13" x14ac:dyDescent="0.3">
      <c r="C9" s="25" t="s">
        <v>187</v>
      </c>
      <c r="D9" s="431" t="s">
        <v>338</v>
      </c>
      <c r="E9" s="102"/>
    </row>
    <row r="10" spans="2:13" x14ac:dyDescent="0.3">
      <c r="C10" s="25" t="s">
        <v>197</v>
      </c>
      <c r="D10" s="219">
        <v>150</v>
      </c>
      <c r="E10" s="102"/>
    </row>
    <row r="11" spans="2:13" x14ac:dyDescent="0.3">
      <c r="E11" s="102"/>
      <c r="M11" s="428"/>
    </row>
    <row r="12" spans="2:13" x14ac:dyDescent="0.3">
      <c r="B12" s="64" t="s">
        <v>82</v>
      </c>
    </row>
    <row r="13" spans="2:13" x14ac:dyDescent="0.3">
      <c r="B13" s="64"/>
      <c r="C13" s="25" t="s">
        <v>289</v>
      </c>
      <c r="D13" s="431" t="s">
        <v>201</v>
      </c>
    </row>
    <row r="14" spans="2:13" x14ac:dyDescent="0.3">
      <c r="C14" s="25" t="s">
        <v>5</v>
      </c>
      <c r="D14" s="159" t="s">
        <v>17</v>
      </c>
      <c r="E14" s="160"/>
      <c r="F14" s="50"/>
    </row>
    <row r="15" spans="2:13" x14ac:dyDescent="0.3">
      <c r="C15" s="25" t="s">
        <v>2</v>
      </c>
      <c r="D15" s="143">
        <v>15</v>
      </c>
      <c r="E15" s="72" t="s">
        <v>32</v>
      </c>
      <c r="F15" s="72"/>
    </row>
    <row r="16" spans="2:13" x14ac:dyDescent="0.3">
      <c r="C16" s="25" t="s">
        <v>3</v>
      </c>
      <c r="D16" s="143">
        <v>9</v>
      </c>
      <c r="E16" s="73" t="str">
        <f>"max : "&amp;'Config type'!B21&amp;" m"</f>
        <v>max : 12 m</v>
      </c>
      <c r="F16" s="73"/>
    </row>
    <row r="17" spans="2:9" x14ac:dyDescent="0.3">
      <c r="C17" s="25" t="s">
        <v>4</v>
      </c>
      <c r="D17" s="326">
        <v>20</v>
      </c>
      <c r="E17" s="72"/>
      <c r="F17" s="72"/>
    </row>
    <row r="18" spans="2:9" x14ac:dyDescent="0.3">
      <c r="C18" s="25" t="s">
        <v>174</v>
      </c>
      <c r="D18" s="144">
        <v>15</v>
      </c>
      <c r="E18" s="74" t="str">
        <f>"min: "&amp;'Config type'!B19&amp;"° ; max: "&amp;'Config type'!B20&amp;"°"</f>
        <v>min: 13,5° ; max: 50°</v>
      </c>
      <c r="F18" s="74"/>
    </row>
    <row r="19" spans="2:9" hidden="1" x14ac:dyDescent="0.3">
      <c r="C19" s="25" t="s">
        <v>54</v>
      </c>
      <c r="D19" s="144" t="s">
        <v>58</v>
      </c>
      <c r="E19" s="74"/>
      <c r="F19" s="74"/>
    </row>
    <row r="20" spans="2:9" x14ac:dyDescent="0.3">
      <c r="C20" s="25" t="s">
        <v>55</v>
      </c>
      <c r="D20" s="140">
        <v>600</v>
      </c>
      <c r="E20" s="72" t="str">
        <f>"max: "&amp;entr_croch_max&amp;" mm"</f>
        <v>max: 1500 mm</v>
      </c>
      <c r="F20" s="72"/>
    </row>
    <row r="21" spans="2:9" x14ac:dyDescent="0.3">
      <c r="C21" s="25" t="s">
        <v>56</v>
      </c>
      <c r="D21" s="140">
        <v>1500</v>
      </c>
      <c r="E21" s="72" t="str">
        <f>"max: "&amp;Entr_panne_max&amp;" mm"</f>
        <v>max: 1500 mm</v>
      </c>
      <c r="F21" s="72"/>
    </row>
    <row r="22" spans="2:9" x14ac:dyDescent="0.3">
      <c r="C22" s="25" t="s">
        <v>389</v>
      </c>
      <c r="D22" s="430" t="s">
        <v>391</v>
      </c>
      <c r="E22" s="72"/>
      <c r="F22" s="72"/>
    </row>
    <row r="24" spans="2:9" x14ac:dyDescent="0.3">
      <c r="B24" s="65" t="s">
        <v>0</v>
      </c>
      <c r="G24" s="65" t="s">
        <v>1</v>
      </c>
    </row>
    <row r="25" spans="2:9" x14ac:dyDescent="0.3">
      <c r="C25" s="185" t="s">
        <v>7</v>
      </c>
      <c r="D25" s="449" t="s">
        <v>128</v>
      </c>
      <c r="E25" s="449"/>
      <c r="H25" t="s">
        <v>20</v>
      </c>
      <c r="I25" s="140">
        <v>1550</v>
      </c>
    </row>
    <row r="26" spans="2:9" x14ac:dyDescent="0.3">
      <c r="C26" s="155" t="s">
        <v>8</v>
      </c>
      <c r="D26" s="431" t="s">
        <v>35</v>
      </c>
      <c r="H26" t="s">
        <v>21</v>
      </c>
      <c r="I26" s="140">
        <v>1134</v>
      </c>
    </row>
    <row r="27" spans="2:9" x14ac:dyDescent="0.3">
      <c r="C27" s="155" t="s">
        <v>173</v>
      </c>
      <c r="D27" s="432">
        <v>2.4</v>
      </c>
      <c r="H27" t="s">
        <v>33</v>
      </c>
      <c r="I27" s="140">
        <v>30</v>
      </c>
    </row>
    <row r="28" spans="2:9" x14ac:dyDescent="0.3">
      <c r="C28" s="155" t="s">
        <v>169</v>
      </c>
      <c r="D28" s="431" t="s">
        <v>177</v>
      </c>
      <c r="H28" t="s">
        <v>6</v>
      </c>
      <c r="I28" s="141">
        <v>405</v>
      </c>
    </row>
    <row r="29" spans="2:9" x14ac:dyDescent="0.3">
      <c r="H29" t="s">
        <v>297</v>
      </c>
      <c r="I29" s="340">
        <v>21</v>
      </c>
    </row>
    <row r="31" spans="2:9" x14ac:dyDescent="0.3">
      <c r="B31" s="65" t="s">
        <v>9</v>
      </c>
    </row>
    <row r="32" spans="2:9" x14ac:dyDescent="0.3">
      <c r="C32" s="25" t="s">
        <v>166</v>
      </c>
      <c r="D32" s="450" t="s">
        <v>38</v>
      </c>
      <c r="E32" s="450"/>
      <c r="F32" s="75"/>
    </row>
    <row r="33" spans="2:21" x14ac:dyDescent="0.3">
      <c r="C33" s="25" t="s">
        <v>167</v>
      </c>
      <c r="D33" s="142">
        <v>3</v>
      </c>
      <c r="G33" s="65" t="s">
        <v>19</v>
      </c>
    </row>
    <row r="34" spans="2:21" x14ac:dyDescent="0.3">
      <c r="C34" s="25" t="s">
        <v>168</v>
      </c>
      <c r="D34" s="142">
        <v>7</v>
      </c>
      <c r="H34" t="s">
        <v>20</v>
      </c>
      <c r="I34" s="187">
        <f>IF(Haut_Champs_PV&lt;=D16*1000-dist_fait,Haut_Champs_PV,Données!C13)</f>
        <v>4700</v>
      </c>
    </row>
    <row r="35" spans="2:21" x14ac:dyDescent="0.3">
      <c r="E35" s="102"/>
      <c r="H35" t="s">
        <v>21</v>
      </c>
      <c r="I35" s="187">
        <f>IF(Larg_Champs_PV&lt;=D17*1000-2*dist_rive,Larg_Champs_PV,Données!C14)</f>
        <v>8158</v>
      </c>
    </row>
    <row r="36" spans="2:21" ht="21" x14ac:dyDescent="0.3">
      <c r="I36" t="str">
        <f>IF(Larg_Champs_PV=long_utile,"",Données!C15)</f>
        <v/>
      </c>
      <c r="M36" s="422" t="s">
        <v>383</v>
      </c>
      <c r="O36" s="443">
        <v>3</v>
      </c>
    </row>
    <row r="37" spans="2:21" hidden="1" x14ac:dyDescent="0.3"/>
    <row r="38" spans="2:21" hidden="1" x14ac:dyDescent="0.3"/>
    <row r="39" spans="2:21" hidden="1" x14ac:dyDescent="0.3"/>
    <row r="40" spans="2:21" hidden="1" x14ac:dyDescent="0.3"/>
    <row r="41" spans="2:21" ht="15" customHeight="1" x14ac:dyDescent="0.3">
      <c r="B41" s="65" t="s">
        <v>42</v>
      </c>
    </row>
    <row r="42" spans="2:21" ht="5.4" customHeight="1" x14ac:dyDescent="0.3"/>
    <row r="43" spans="2:21" ht="19.2" customHeight="1" x14ac:dyDescent="0.3">
      <c r="C43" s="2" t="s">
        <v>76</v>
      </c>
      <c r="D43" s="448" t="s">
        <v>75</v>
      </c>
      <c r="E43" s="448"/>
      <c r="F43" s="448"/>
      <c r="G43" s="448"/>
      <c r="H43" s="156" t="s">
        <v>61</v>
      </c>
      <c r="J43" s="25"/>
      <c r="N43" s="15"/>
      <c r="O43" s="15"/>
      <c r="Q43" s="314"/>
      <c r="R43" s="15"/>
      <c r="S43" s="15"/>
      <c r="T43" s="15"/>
      <c r="U43" s="15"/>
    </row>
    <row r="44" spans="2:21" ht="19.2" customHeight="1" x14ac:dyDescent="0.3">
      <c r="B44" s="169">
        <v>1</v>
      </c>
      <c r="C44" s="170" t="str">
        <f>IFERROR(VLOOKUP($B44,list_materiel,COLUMN(Logistique!G$2)-COLUMN(Logistique!$A$2)+1,FALSE),"")</f>
        <v>380073 V3</v>
      </c>
      <c r="D44" s="147" t="str">
        <f>IFERROR(VLOOKUP($B44,list_materiel,COLUMN(Logistique!I$2)-COLUMN(Logistique!$A$2)+1,FALSE),"")</f>
        <v>Rails Alu 2400 mm 36.5x H50 mm V3 - IZIPV</v>
      </c>
      <c r="E44" s="149"/>
      <c r="F44" s="149"/>
      <c r="G44" s="150"/>
      <c r="H44" s="170">
        <f>IFERROR(IF(OR($I$34=Données!$C$13,'Configurateur IZI-PV'!$I$35=Données!$C$14),NA(),VLOOKUP($B44,list_materiel,COLUMN(Logistique!J$2)-COLUMN(Logistique!$A$2)+1,FALSE)),"")</f>
        <v>24</v>
      </c>
      <c r="J44" s="25"/>
      <c r="N44" s="15"/>
      <c r="O44" s="314"/>
      <c r="Q44" s="314"/>
      <c r="R44" s="15"/>
      <c r="S44" s="15"/>
      <c r="T44" s="15"/>
      <c r="U44" s="314"/>
    </row>
    <row r="45" spans="2:21" ht="19.2" customHeight="1" x14ac:dyDescent="0.3">
      <c r="B45" s="169">
        <v>2</v>
      </c>
      <c r="C45" s="136" t="str">
        <f>IFERROR(VLOOKUP($B45,list_materiel,COLUMN(Logistique!G$2)-COLUMN(Logistique!$A$2)+1,FALSE),"")</f>
        <v>380063 V3</v>
      </c>
      <c r="D45" s="151" t="str">
        <f>IFERROR(VLOOKUP($B45,list_materiel,COLUMN(Logistique!I$2)-COLUMN(Logistique!$A$2)+1,FALSE),"")</f>
        <v>QCC V3 - IZIPV</v>
      </c>
      <c r="E45" s="148"/>
      <c r="F45" s="148"/>
      <c r="G45" s="152"/>
      <c r="H45" s="136">
        <f>IFERROR(IF(OR($I$34=Données!$C$13,'Configurateur IZI-PV'!$I$35=Données!$C$14),NA(),VLOOKUP($B45,list_materiel,COLUMN(Logistique!J$2)-COLUMN(Logistique!$A$2)+1,FALSE)),"")</f>
        <v>18</v>
      </c>
      <c r="I45" s="169">
        <v>1</v>
      </c>
      <c r="J45" s="56"/>
      <c r="M45" s="15"/>
      <c r="N45" s="15"/>
      <c r="O45" s="15"/>
      <c r="Q45" s="15"/>
      <c r="R45" s="15"/>
      <c r="S45" s="15"/>
      <c r="T45" s="15"/>
      <c r="U45" s="15"/>
    </row>
    <row r="46" spans="2:21" ht="19.2" customHeight="1" x14ac:dyDescent="0.3">
      <c r="B46" s="169">
        <v>3</v>
      </c>
      <c r="C46" s="136">
        <f>IFERROR(VLOOKUP($B46,list_materiel,COLUMN(Logistique!G$2)-COLUMN(Logistique!$A$2)+1,FALSE),"")</f>
        <v>380074</v>
      </c>
      <c r="D46" s="151" t="str">
        <f>IFERROR(VLOOKUP($B46,list_materiel,COLUMN(Logistique!I$2)-COLUMN(Logistique!$A$2)+1,FALSE),"")</f>
        <v>Fin de Rails Silver - IZIPV</v>
      </c>
      <c r="E46" s="148"/>
      <c r="F46" s="148"/>
      <c r="G46" s="152"/>
      <c r="H46" s="136">
        <f>IFERROR(IF(OR($I$34=Données!$C$13,'Configurateur IZI-PV'!$I$35=Données!$C$14),NA(),VLOOKUP($B46,list_materiel,COLUMN(Logistique!J$2)-COLUMN(Logistique!$A$2)+1,FALSE)),"")</f>
        <v>12</v>
      </c>
      <c r="I46" s="169">
        <v>2</v>
      </c>
      <c r="J46" s="56"/>
      <c r="M46" s="15"/>
      <c r="N46" s="15"/>
      <c r="O46" s="15"/>
      <c r="Q46" s="15"/>
      <c r="R46" s="15"/>
      <c r="S46" s="15"/>
      <c r="T46" s="15"/>
      <c r="U46" s="15"/>
    </row>
    <row r="47" spans="2:21" ht="19.2" customHeight="1" x14ac:dyDescent="0.3">
      <c r="B47" s="169">
        <v>4</v>
      </c>
      <c r="C47" s="136" t="str">
        <f>IFERROR(VLOOKUP($B47,list_materiel,COLUMN(Logistique!G$2)-COLUMN(Logistique!$A$2)+1,FALSE),"")</f>
        <v>380062 V3</v>
      </c>
      <c r="D47" s="151" t="str">
        <f>IFERROR(VLOOKUP($B47,list_materiel,COLUMN(Logistique!I$2)-COLUMN(Logistique!$A$2)+1,FALSE),"")</f>
        <v>Fixations Alu Exter V3 - IZIPV</v>
      </c>
      <c r="E47" s="148"/>
      <c r="F47" s="148"/>
      <c r="G47" s="152"/>
      <c r="H47" s="136">
        <f>IFERROR(IF(OR($I$34=Données!$C$13,'Configurateur IZI-PV'!$I$35=Données!$C$14),NA(),VLOOKUP($B47,list_materiel,COLUMN(Logistique!J$2)-COLUMN(Logistique!$A$2)+1,FALSE)),"")</f>
        <v>12</v>
      </c>
      <c r="I47" s="169">
        <v>3</v>
      </c>
      <c r="J47" s="56"/>
      <c r="M47" s="342"/>
      <c r="N47" s="15"/>
      <c r="O47" s="15"/>
      <c r="Q47" s="50"/>
      <c r="R47" s="15"/>
      <c r="S47" s="342"/>
      <c r="T47" s="15"/>
      <c r="U47" s="15"/>
    </row>
    <row r="48" spans="2:21" ht="19.2" customHeight="1" x14ac:dyDescent="0.3">
      <c r="B48" s="169">
        <v>5</v>
      </c>
      <c r="C48" s="136" t="str">
        <f>IFERROR(VLOOKUP($B48,list_materiel,COLUMN(Logistique!G$2)-COLUMN(Logistique!$A$2)+1,FALSE),"")</f>
        <v>380061 V3</v>
      </c>
      <c r="D48" s="151" t="str">
        <f>IFERROR(VLOOKUP($B48,list_materiel,COLUMN(Logistique!I$2)-COLUMN(Logistique!$A$2)+1,FALSE),"")</f>
        <v>Fixations Alu Inter V3 - IZIPV</v>
      </c>
      <c r="E48" s="148"/>
      <c r="F48" s="148"/>
      <c r="G48" s="152"/>
      <c r="H48" s="136">
        <f>IFERROR(IF(OR($I$34=Données!$C$13,'Configurateur IZI-PV'!$I$35=Données!$C$14),NA(),VLOOKUP($B48,list_materiel,COLUMN(Logistique!J$2)-COLUMN(Logistique!$A$2)+1,FALSE)),"")</f>
        <v>36</v>
      </c>
      <c r="I48" s="169">
        <v>4</v>
      </c>
      <c r="J48" s="56"/>
      <c r="M48" s="342"/>
      <c r="N48" s="15"/>
      <c r="O48" s="51"/>
      <c r="Q48" s="50"/>
      <c r="R48" s="15"/>
      <c r="S48" s="342"/>
      <c r="T48" s="15"/>
      <c r="U48" s="15"/>
    </row>
    <row r="49" spans="2:21" ht="19.2" customHeight="1" x14ac:dyDescent="0.3">
      <c r="B49" s="169">
        <v>6</v>
      </c>
      <c r="C49" s="136">
        <f>IFERROR(VLOOKUP($B49,list_materiel,COLUMN(Logistique!G$2)-COLUMN(Logistique!$A$2)+1,FALSE),"")</f>
        <v>380082</v>
      </c>
      <c r="D49" s="151" t="str">
        <f>IFERROR(VLOOKUP($B49,list_materiel,COLUMN(Logistique!I$2)-COLUMN(Logistique!$A$2)+1,FALSE),"")</f>
        <v>Crochet standard réglable V3</v>
      </c>
      <c r="E49" s="148"/>
      <c r="F49" s="148"/>
      <c r="G49" s="152"/>
      <c r="H49" s="136">
        <f>IFERROR(IF(OR($I$34=Données!$C$13,'Configurateur IZI-PV'!$I$35=Données!$C$14),NA(),VLOOKUP($B49,list_materiel,COLUMN(Logistique!J$2)-COLUMN(Logistique!$A$2)+1,FALSE)),"")</f>
        <v>84</v>
      </c>
      <c r="I49" s="169">
        <v>5</v>
      </c>
      <c r="J49" s="56"/>
      <c r="M49" s="342"/>
      <c r="N49" s="15"/>
      <c r="O49" s="15"/>
      <c r="Q49" s="50"/>
      <c r="R49" s="15"/>
      <c r="S49" s="342"/>
      <c r="T49" s="15"/>
      <c r="U49" s="15"/>
    </row>
    <row r="50" spans="2:21" ht="19.2" customHeight="1" x14ac:dyDescent="0.3">
      <c r="B50" s="169">
        <v>7</v>
      </c>
      <c r="C50" s="136" t="str">
        <f>IFERROR(VLOOKUP($B50,list_materiel,COLUMN(Logistique!G$2)-COLUMN(Logistique!$A$2)+1,FALSE),"")</f>
        <v>380015 V3</v>
      </c>
      <c r="D50" s="151" t="str">
        <f>IFERROR(VLOOKUP($B50,list_materiel,COLUMN(Logistique!I$2)-COLUMN(Logistique!$A$2)+1,FALSE),"")</f>
        <v>Vis à bois 6*80 (l unité) V3 - IZIPV</v>
      </c>
      <c r="E50" s="148"/>
      <c r="F50" s="148"/>
      <c r="G50" s="152"/>
      <c r="H50" s="136">
        <f>IFERROR(IF(OR($I$34=Données!$C$13,'Configurateur IZI-PV'!$I$35=Données!$C$14),NA(),VLOOKUP($B50,list_materiel,COLUMN(Logistique!J$2)-COLUMN(Logistique!$A$2)+1,FALSE)),"")</f>
        <v>252</v>
      </c>
      <c r="I50" s="169">
        <v>6</v>
      </c>
      <c r="J50" s="56"/>
      <c r="M50" s="342"/>
      <c r="N50" s="15"/>
      <c r="O50" s="15"/>
      <c r="Q50" s="50"/>
      <c r="R50" s="15"/>
      <c r="S50" s="342"/>
      <c r="T50" s="15"/>
      <c r="U50" s="15"/>
    </row>
    <row r="51" spans="2:21" ht="19.2" customHeight="1" x14ac:dyDescent="0.3">
      <c r="B51" s="169">
        <v>8</v>
      </c>
      <c r="C51" s="136">
        <f>IFERROR(VLOOKUP($B51,list_materiel,COLUMN(Logistique!G$2)-COLUMN(Logistique!$A$2)+1,FALSE),"")</f>
        <v>380049</v>
      </c>
      <c r="D51" s="151" t="str">
        <f>IFERROR(VLOOKUP($B51,list_materiel,COLUMN(Logistique!I$2)-COLUMN(Logistique!$A$2)+1,FALSE),"")</f>
        <v>Terragrif Domos</v>
      </c>
      <c r="E51" s="148"/>
      <c r="F51" s="148"/>
      <c r="G51" s="152"/>
      <c r="H51" s="136">
        <f>IFERROR(IF(OR($I$34=Données!$C$13,'Configurateur IZI-PV'!$I$35=Données!$C$14),NA(),VLOOKUP($B51,list_materiel,COLUMN(Logistique!J$2)-COLUMN(Logistique!$A$2)+1,FALSE)),"")</f>
        <v>21</v>
      </c>
      <c r="K51" s="50"/>
      <c r="L51" s="15"/>
      <c r="M51" s="342"/>
      <c r="N51" s="15"/>
      <c r="O51" s="15"/>
      <c r="Q51" s="50"/>
      <c r="R51" s="15"/>
      <c r="S51" s="15"/>
      <c r="T51" s="15"/>
      <c r="U51" s="15"/>
    </row>
    <row r="52" spans="2:21" ht="19.2" customHeight="1" x14ac:dyDescent="0.3">
      <c r="B52" s="169">
        <v>9</v>
      </c>
      <c r="C52" s="136" t="str">
        <f>IFERROR(VLOOKUP($B52,list_materiel,COLUMN(Logistique!G$2)-COLUMN(Logistique!$A$2)+1,FALSE),"")</f>
        <v/>
      </c>
      <c r="D52" s="151" t="str">
        <f>IFERROR(VLOOKUP($B52,list_materiel,COLUMN(Logistique!I$2)-COLUMN(Logistique!$A$2)+1,FALSE),"")</f>
        <v/>
      </c>
      <c r="E52" s="148"/>
      <c r="F52" s="148"/>
      <c r="G52" s="152"/>
      <c r="H52" s="136" t="str">
        <f>IFERROR(IF(OR($I$34=Données!$C$13,'Configurateur IZI-PV'!$I$35=Données!$C$14),NA(),VLOOKUP($B52,list_materiel,COLUMN(Logistique!J$2)-COLUMN(Logistique!$A$2)+1,FALSE)),"")</f>
        <v/>
      </c>
      <c r="K52" s="50"/>
      <c r="L52" s="15"/>
      <c r="N52" s="15"/>
      <c r="O52" s="15"/>
      <c r="Q52" s="341"/>
      <c r="R52" s="15"/>
      <c r="T52" s="15"/>
      <c r="U52" s="15"/>
    </row>
    <row r="53" spans="2:21" ht="19.2" customHeight="1" x14ac:dyDescent="0.3">
      <c r="B53" s="169">
        <v>10</v>
      </c>
      <c r="C53" s="136" t="str">
        <f>IFERROR(VLOOKUP($B53,list_materiel,COLUMN(Logistique!G$2)-COLUMN(Logistique!$A$2)+1,FALSE),"")</f>
        <v/>
      </c>
      <c r="D53" s="151" t="str">
        <f>IFERROR(VLOOKUP($B53,list_materiel,COLUMN(Logistique!I$2)-COLUMN(Logistique!$A$2)+1,FALSE),"")</f>
        <v/>
      </c>
      <c r="E53" s="148"/>
      <c r="F53" s="148"/>
      <c r="G53" s="152"/>
      <c r="H53" s="136" t="str">
        <f>IFERROR(IF(OR($I$34=Données!$C$13,'Configurateur IZI-PV'!$I$35=Données!$C$14),NA(),VLOOKUP($B53,list_materiel,COLUMN(Logistique!J$2)-COLUMN(Logistique!$A$2)+1,FALSE)),"")</f>
        <v/>
      </c>
      <c r="K53" s="314"/>
      <c r="L53" s="15"/>
      <c r="M53" s="367" t="s">
        <v>332</v>
      </c>
      <c r="N53" s="15"/>
      <c r="O53" s="314"/>
      <c r="Q53" s="314"/>
      <c r="R53" s="15"/>
      <c r="S53" s="368" t="s">
        <v>333</v>
      </c>
      <c r="T53" s="15"/>
      <c r="U53" s="314"/>
    </row>
    <row r="54" spans="2:21" ht="19.2" customHeight="1" x14ac:dyDescent="0.3">
      <c r="B54" s="169">
        <v>11</v>
      </c>
      <c r="C54" s="137" t="str">
        <f>IFERROR(VLOOKUP($B54,list_materiel,COLUMN(Logistique!G$2)-COLUMN(Logistique!$A$2)+1,FALSE),"")</f>
        <v/>
      </c>
      <c r="D54" s="171" t="str">
        <f>IFERROR(VLOOKUP($B54,list_materiel,COLUMN(Logistique!I$2)-COLUMN(Logistique!$A$2)+1,FALSE),"")</f>
        <v/>
      </c>
      <c r="E54" s="153"/>
      <c r="F54" s="153"/>
      <c r="G54" s="154"/>
      <c r="H54" s="137" t="str">
        <f>IFERROR(IF(OR($I$34=Données!$C$13,'Configurateur IZI-PV'!$I$35=Données!$C$14),NA(),VLOOKUP($B54,list_materiel,COLUMN(Logistique!J$2)-COLUMN(Logistique!$A$2)+1,FALSE)),"")</f>
        <v/>
      </c>
      <c r="K54" s="324"/>
      <c r="L54" s="325"/>
      <c r="M54" s="324"/>
      <c r="N54" s="325"/>
      <c r="O54" s="324"/>
      <c r="Q54" s="324"/>
      <c r="R54" s="325"/>
      <c r="S54" s="324"/>
      <c r="T54" s="325"/>
      <c r="U54" s="324"/>
    </row>
    <row r="55" spans="2:21" x14ac:dyDescent="0.3">
      <c r="P55" s="161"/>
      <c r="Q55" s="162"/>
    </row>
    <row r="56" spans="2:21" x14ac:dyDescent="0.3">
      <c r="K56" s="302"/>
      <c r="L56" s="303"/>
      <c r="M56" s="451" t="s">
        <v>272</v>
      </c>
      <c r="N56" s="303"/>
      <c r="O56" s="304"/>
      <c r="Q56" s="305"/>
      <c r="R56" s="306"/>
      <c r="S56" s="306"/>
      <c r="T56" s="306"/>
      <c r="U56" s="307"/>
    </row>
    <row r="57" spans="2:21" x14ac:dyDescent="0.3">
      <c r="C57" s="266" t="s">
        <v>378</v>
      </c>
      <c r="D57" s="45" t="s">
        <v>379</v>
      </c>
      <c r="E57" s="46" t="s">
        <v>381</v>
      </c>
      <c r="F57" s="46" t="s">
        <v>326</v>
      </c>
      <c r="G57" s="46"/>
      <c r="H57" s="47" t="s">
        <v>380</v>
      </c>
      <c r="K57" s="329" t="s">
        <v>271</v>
      </c>
      <c r="L57" s="308"/>
      <c r="M57" s="452"/>
      <c r="N57" s="308"/>
      <c r="O57" s="330" t="s">
        <v>271</v>
      </c>
      <c r="Q57" s="333"/>
      <c r="R57" s="334"/>
      <c r="S57" s="334"/>
      <c r="T57" s="334"/>
      <c r="U57" s="335"/>
    </row>
    <row r="58" spans="2:21" x14ac:dyDescent="0.3">
      <c r="B58" s="169">
        <v>1</v>
      </c>
      <c r="C58" s="391" t="str">
        <f>IFERROR(IF(Choix_forme='EC1-Vent'!$C$1,VLOOKUP($B58,Zone_exclusion_MP,2,FALSE),VLOOKUP($B58,Zone_exclusion_BP,2,FALSE)),"")</f>
        <v>Centre</v>
      </c>
      <c r="D58" s="395">
        <f>IFERROR(IF(Choix_forme='EC1-Vent'!$C$1,VLOOKUP('Configurateur IZI-PV'!$C58,Verif_Mono,16,FALSE),VLOOKUP($C58,Verif_Bi,16,FALSE)),"")</f>
        <v>600</v>
      </c>
      <c r="E58" s="397">
        <f t="shared" ref="E58:E63" si="0">IFERROR(D58/Entr_chev,"")</f>
        <v>1</v>
      </c>
      <c r="F58" s="394">
        <f>IFERROR(IF(Choix_forme='EC1-Vent'!$C$1,VLOOKUP('Configurateur IZI-PV'!$C58,Verif_Mono,17,FALSE),VLOOKUP($C58,Verif_Bi,17,FALSE)),"")</f>
        <v>2</v>
      </c>
      <c r="G58" s="394"/>
      <c r="H58" s="174">
        <f>IFERROR(IF(Choix_forme='EC1-Vent'!$C$1,VLOOKUP('Configurateur IZI-PV'!$C58,Verif_Mono,18,FALSE),VLOOKUP($C58,Verif_Bi,18,FALSE)),"")</f>
        <v>2</v>
      </c>
      <c r="K58" s="310"/>
      <c r="L58" s="309"/>
      <c r="M58" s="309"/>
      <c r="N58" s="309"/>
      <c r="O58" s="311"/>
      <c r="Q58" s="336"/>
      <c r="R58" s="334"/>
      <c r="S58" s="334"/>
      <c r="T58" s="334"/>
      <c r="U58" s="337"/>
    </row>
    <row r="59" spans="2:21" x14ac:dyDescent="0.3">
      <c r="B59" s="169">
        <v>2</v>
      </c>
      <c r="C59" s="392" t="str">
        <f>IFERROR(IF(Choix_forme='EC1-Vent'!$C$1,VLOOKUP($B59,Zone_exclusion_MP,2,FALSE),VLOOKUP($B59,Zone_exclusion_BP,2,FALSE)),"")</f>
        <v/>
      </c>
      <c r="D59" s="389" t="str">
        <f>IFERROR(IF(Choix_forme='EC1-Vent'!$C$1,VLOOKUP('Configurateur IZI-PV'!$C59,Verif_Mono,16,FALSE),VLOOKUP($C59,Verif_Bi,16,FALSE)),"")</f>
        <v/>
      </c>
      <c r="E59" s="390" t="str">
        <f t="shared" si="0"/>
        <v/>
      </c>
      <c r="F59" s="15" t="str">
        <f>IFERROR(IF(Choix_forme='EC1-Vent'!$C$1,VLOOKUP('Configurateur IZI-PV'!$C59,Verif_Mono,17,FALSE),VLOOKUP($C59,Verif_Bi,17,FALSE)),"")</f>
        <v/>
      </c>
      <c r="G59" s="15"/>
      <c r="H59" s="167" t="str">
        <f>IFERROR(IF(Choix_forme='EC1-Vent'!$C$1,VLOOKUP('Configurateur IZI-PV'!$C59,Verif_Mono,18,FALSE),VLOOKUP($C59,Verif_Bi,18,FALSE)),"")</f>
        <v/>
      </c>
      <c r="K59" s="312"/>
      <c r="L59" s="309"/>
      <c r="M59" s="309"/>
      <c r="N59" s="309"/>
      <c r="O59" s="313"/>
      <c r="Q59" s="336"/>
      <c r="R59" s="334"/>
      <c r="S59" s="334"/>
      <c r="T59" s="334"/>
      <c r="U59" s="337"/>
    </row>
    <row r="60" spans="2:21" x14ac:dyDescent="0.3">
      <c r="B60" s="169">
        <v>3</v>
      </c>
      <c r="C60" s="392" t="str">
        <f>IFERROR(IF(Choix_forme='EC1-Vent'!$C$1,VLOOKUP($B60,Zone_exclusion_MP,2,FALSE),VLOOKUP($B60,Zone_exclusion_BP,2,FALSE)),"")</f>
        <v/>
      </c>
      <c r="D60" s="389" t="str">
        <f>IFERROR(IF(Choix_forme='EC1-Vent'!$C$1,VLOOKUP('Configurateur IZI-PV'!$C60,Verif_Mono,16,FALSE),VLOOKUP($C60,Verif_Bi,16,FALSE)),"")</f>
        <v/>
      </c>
      <c r="E60" s="390" t="str">
        <f t="shared" si="0"/>
        <v/>
      </c>
      <c r="F60" s="15" t="str">
        <f>IFERROR(IF(Choix_forme='EC1-Vent'!$C$1,VLOOKUP('Configurateur IZI-PV'!$C60,Verif_Mono,17,FALSE),VLOOKUP($C60,Verif_Bi,17,FALSE)),"")</f>
        <v/>
      </c>
      <c r="G60" s="15"/>
      <c r="H60" s="167" t="str">
        <f>IFERROR(IF(Choix_forme='EC1-Vent'!$C$1,VLOOKUP('Configurateur IZI-PV'!$C60,Verif_Mono,18,FALSE),VLOOKUP($C60,Verif_Bi,18,FALSE)),"")</f>
        <v/>
      </c>
      <c r="K60" s="312"/>
      <c r="L60" s="309"/>
      <c r="M60" s="309"/>
      <c r="N60" s="309"/>
      <c r="O60" s="313"/>
      <c r="Q60" s="336"/>
      <c r="R60" s="334"/>
      <c r="S60" s="334" t="s">
        <v>190</v>
      </c>
      <c r="T60" s="334"/>
      <c r="U60" s="337"/>
    </row>
    <row r="61" spans="2:21" x14ac:dyDescent="0.3">
      <c r="B61" s="169">
        <v>4</v>
      </c>
      <c r="C61" s="392" t="str">
        <f>IFERROR(IF(Choix_forme='EC1-Vent'!$C$1,VLOOKUP($B61,Zone_exclusion_MP,2,FALSE),VLOOKUP($B61,Zone_exclusion_BP,2,FALSE)),"")</f>
        <v/>
      </c>
      <c r="D61" s="389" t="str">
        <f>IFERROR(IF(Choix_forme='EC1-Vent'!$C$1,VLOOKUP('Configurateur IZI-PV'!$C61,Verif_Mono,16,FALSE),VLOOKUP($C61,Verif_Bi,16,FALSE)),"")</f>
        <v/>
      </c>
      <c r="E61" s="390" t="str">
        <f t="shared" si="0"/>
        <v/>
      </c>
      <c r="F61" s="15" t="str">
        <f>IFERROR(IF(Choix_forme='EC1-Vent'!$C$1,VLOOKUP('Configurateur IZI-PV'!$C61,Verif_Mono,17,FALSE),VLOOKUP($C61,Verif_Bi,17,FALSE)),"")</f>
        <v/>
      </c>
      <c r="G61" s="15"/>
      <c r="H61" s="167" t="str">
        <f>IFERROR(IF(Choix_forme='EC1-Vent'!$C$1,VLOOKUP('Configurateur IZI-PV'!$C61,Verif_Mono,18,FALSE),VLOOKUP($C61,Verif_Bi,18,FALSE)),"")</f>
        <v/>
      </c>
      <c r="K61" s="328" t="s">
        <v>191</v>
      </c>
      <c r="L61" s="309"/>
      <c r="M61" s="327" t="s">
        <v>190</v>
      </c>
      <c r="N61" s="309"/>
      <c r="O61" s="332" t="s">
        <v>191</v>
      </c>
      <c r="Q61" s="336" t="s">
        <v>191</v>
      </c>
      <c r="R61" s="334"/>
      <c r="S61" s="334"/>
      <c r="T61" s="334"/>
      <c r="U61" s="337" t="s">
        <v>191</v>
      </c>
    </row>
    <row r="62" spans="2:21" x14ac:dyDescent="0.3">
      <c r="B62" s="169">
        <v>5</v>
      </c>
      <c r="C62" s="392" t="str">
        <f>IFERROR(IF(Choix_forme='EC1-Vent'!$C$1,VLOOKUP($B62,Zone_exclusion_MP,2,FALSE),VLOOKUP($B62,Zone_exclusion_BP,2,FALSE)),"")</f>
        <v/>
      </c>
      <c r="D62" s="389" t="str">
        <f>IFERROR(IF(Choix_forme='EC1-Vent'!$C$1,VLOOKUP('Configurateur IZI-PV'!$C62,Verif_Mono,16,FALSE),VLOOKUP($C62,Verif_Bi,16,FALSE)),"")</f>
        <v/>
      </c>
      <c r="E62" s="390" t="str">
        <f t="shared" si="0"/>
        <v/>
      </c>
      <c r="F62" s="15" t="str">
        <f>IFERROR(IF(Choix_forme='EC1-Vent'!$C$1,VLOOKUP('Configurateur IZI-PV'!$C62,Verif_Mono,17,FALSE),VLOOKUP($C62,Verif_Bi,17,FALSE)),"")</f>
        <v/>
      </c>
      <c r="G62" s="15"/>
      <c r="H62" s="167" t="str">
        <f>IFERROR(IF(Choix_forme='EC1-Vent'!$C$1,VLOOKUP('Configurateur IZI-PV'!$C62,Verif_Mono,18,FALSE),VLOOKUP($C62,Verif_Bi,18,FALSE)),"")</f>
        <v/>
      </c>
      <c r="K62" s="312"/>
      <c r="L62" s="309"/>
      <c r="M62" s="309"/>
      <c r="N62" s="309"/>
      <c r="O62" s="313"/>
      <c r="Q62" s="336"/>
      <c r="R62" s="334"/>
      <c r="S62" s="334"/>
      <c r="T62" s="334"/>
      <c r="U62" s="337"/>
    </row>
    <row r="63" spans="2:21" x14ac:dyDescent="0.3">
      <c r="B63" s="169">
        <v>6</v>
      </c>
      <c r="C63" s="393" t="str">
        <f>IFERROR(IF(Choix_forme='EC1-Vent'!$C$1,VLOOKUP($B63,Zone_exclusion_MP,2,FALSE),VLOOKUP($B63,Zone_exclusion_BP,2,FALSE)),"")</f>
        <v/>
      </c>
      <c r="D63" s="396" t="str">
        <f>IFERROR(IF(Choix_forme='EC1-Vent'!$C$1,VLOOKUP('Configurateur IZI-PV'!$C63,Verif_Mono,16,FALSE),VLOOKUP($C63,Verif_Bi,16,FALSE)),"")</f>
        <v/>
      </c>
      <c r="E63" s="398" t="str">
        <f t="shared" si="0"/>
        <v/>
      </c>
      <c r="F63" s="182" t="str">
        <f>IFERROR(IF(Choix_forme='EC1-Vent'!$C$1,VLOOKUP('Configurateur IZI-PV'!$C63,Verif_Mono,17,FALSE),VLOOKUP($C63,Verif_Bi,17,FALSE)),"")</f>
        <v/>
      </c>
      <c r="G63" s="182"/>
      <c r="H63" s="177" t="str">
        <f>IFERROR(IF(Choix_forme='EC1-Vent'!$C$1,VLOOKUP('Configurateur IZI-PV'!$C63,Verif_Mono,18,FALSE),VLOOKUP($C63,Verif_Bi,18,FALSE)),"")</f>
        <v/>
      </c>
      <c r="K63" s="312"/>
      <c r="L63" s="309"/>
      <c r="M63" s="309"/>
      <c r="N63" s="309"/>
      <c r="O63" s="313"/>
      <c r="Q63" s="336"/>
      <c r="R63" s="334"/>
      <c r="S63" s="334"/>
      <c r="T63" s="334"/>
      <c r="U63" s="337"/>
    </row>
    <row r="64" spans="2:21" x14ac:dyDescent="0.3">
      <c r="K64" s="312"/>
      <c r="L64" s="309"/>
      <c r="M64" s="309"/>
      <c r="N64" s="309"/>
      <c r="O64" s="313"/>
      <c r="Q64" s="336"/>
      <c r="R64" s="334"/>
      <c r="S64" s="334"/>
      <c r="T64" s="334"/>
      <c r="U64" s="337"/>
    </row>
    <row r="65" spans="2:21" x14ac:dyDescent="0.3">
      <c r="C65" s="421" t="s">
        <v>382</v>
      </c>
      <c r="K65" s="310"/>
      <c r="L65" s="309"/>
      <c r="M65" s="309"/>
      <c r="N65" s="309"/>
      <c r="O65" s="311"/>
      <c r="Q65" s="331"/>
      <c r="R65" s="334"/>
      <c r="S65" s="334"/>
      <c r="T65" s="334"/>
      <c r="U65" s="338"/>
    </row>
    <row r="66" spans="2:21" x14ac:dyDescent="0.3">
      <c r="C66" s="399" t="s">
        <v>189</v>
      </c>
      <c r="D66" s="400" t="s">
        <v>375</v>
      </c>
      <c r="E66" s="401" t="s">
        <v>381</v>
      </c>
      <c r="F66" s="402" t="s">
        <v>326</v>
      </c>
      <c r="G66" s="403"/>
      <c r="H66" s="404" t="s">
        <v>327</v>
      </c>
      <c r="K66" s="329" t="s">
        <v>292</v>
      </c>
      <c r="L66" s="308"/>
      <c r="M66" s="447" t="s">
        <v>273</v>
      </c>
      <c r="N66" s="308"/>
      <c r="O66" s="330" t="s">
        <v>292</v>
      </c>
      <c r="Q66" s="329" t="s">
        <v>292</v>
      </c>
      <c r="R66" s="339"/>
      <c r="S66" s="447" t="s">
        <v>273</v>
      </c>
      <c r="T66" s="339"/>
      <c r="U66" s="330" t="s">
        <v>292</v>
      </c>
    </row>
    <row r="67" spans="2:21" x14ac:dyDescent="0.3">
      <c r="B67" s="169">
        <v>1</v>
      </c>
      <c r="C67" s="405" t="str" cm="1">
        <f t="array" ref="C67">IFERROR(IF(Choix_forme='EC1-Vent'!$C$1,INDEX(Zone_Toit_Mono,'Configurateur IZI-PV'!$B67),INDEX(Zone_Toit_Bi,'Configurateur IZI-PV'!$B67)),"")</f>
        <v>Centre</v>
      </c>
      <c r="D67" s="406">
        <f>IFERROR(IF(Choix_forme='EC1-Vent'!$C$1,VLOOKUP('Configurateur IZI-PV'!$C67,Verif_Mono,16,FALSE),VLOOKUP($C67,Verif_Bi,16,FALSE)),"")</f>
        <v>600</v>
      </c>
      <c r="E67" s="407">
        <f t="shared" ref="E67:E72" si="1">IFERROR(D67/Entr_chev,"")</f>
        <v>1</v>
      </c>
      <c r="F67" s="402">
        <f>IFERROR(IF(Choix_forme='EC1-Vent'!$C$1,VLOOKUP('Configurateur IZI-PV'!$C67,Verif_Mono,17,FALSE),VLOOKUP($C67,Verif_Bi,17,FALSE)),"")</f>
        <v>2</v>
      </c>
      <c r="G67" s="403"/>
      <c r="H67" s="404">
        <f>IFERROR(IF(Choix_forme='EC1-Vent'!$C$1,VLOOKUP('Configurateur IZI-PV'!$C67,Verif_Mono,18,FALSE),VLOOKUP($C67,Verif_Bi,18,FALSE)),"")</f>
        <v>2</v>
      </c>
      <c r="K67" s="331"/>
      <c r="L67" s="308"/>
      <c r="M67" s="447"/>
      <c r="N67" s="308"/>
      <c r="O67" s="311"/>
      <c r="Q67" s="331"/>
      <c r="R67" s="339"/>
      <c r="S67" s="447"/>
      <c r="T67" s="339"/>
      <c r="U67" s="338"/>
    </row>
    <row r="68" spans="2:21" x14ac:dyDescent="0.3">
      <c r="B68" s="169">
        <v>2</v>
      </c>
      <c r="C68" s="408" t="str" cm="1">
        <f t="array" ref="C68">IFERROR(IF(Choix_forme='EC1-Vent'!$C$1,INDEX(Zone_Toit_Mono,'Configurateur IZI-PV'!$B68),INDEX(Zone_Toit_Bi,'Configurateur IZI-PV'!$B68)),"")</f>
        <v>Rive</v>
      </c>
      <c r="D68" s="409" t="str">
        <f>IFERROR(IF(Choix_forme='EC1-Vent'!$C$1,VLOOKUP('Configurateur IZI-PV'!$C68,Verif_Mono,16,FALSE),VLOOKUP($C68,Verif_Bi,16,FALSE)),"")</f>
        <v>Surcharge</v>
      </c>
      <c r="E68" s="410" t="str">
        <f t="shared" si="1"/>
        <v/>
      </c>
      <c r="F68" s="411">
        <f>IFERROR(IF(Choix_forme='EC1-Vent'!$C$1,VLOOKUP('Configurateur IZI-PV'!$C68,Verif_Mono,17,FALSE),VLOOKUP($C68,Verif_Bi,17,FALSE)),"")</f>
        <v>2</v>
      </c>
      <c r="G68" s="412"/>
      <c r="H68" s="413">
        <f>IFERROR(IF(Choix_forme='EC1-Vent'!$C$1,VLOOKUP('Configurateur IZI-PV'!$C68,Verif_Mono,18,FALSE),VLOOKUP($C68,Verif_Bi,18,FALSE)),"")</f>
        <v>2</v>
      </c>
    </row>
    <row r="69" spans="2:21" x14ac:dyDescent="0.3">
      <c r="B69" s="169">
        <v>3</v>
      </c>
      <c r="C69" s="408" t="str" cm="1">
        <f t="array" ref="C69">IFERROR(IF(Choix_forme='EC1-Vent'!$C$1,INDEX(Zone_Toit_Mono,'Configurateur IZI-PV'!$B69),INDEX(Zone_Toit_Bi,'Configurateur IZI-PV'!$B69)),"")</f>
        <v>Egout</v>
      </c>
      <c r="D69" s="409">
        <f>IFERROR(IF(Choix_forme='EC1-Vent'!$C$1,VLOOKUP('Configurateur IZI-PV'!$C69,Verif_Mono,16,FALSE),VLOOKUP($C69,Verif_Bi,16,FALSE)),"")</f>
        <v>600</v>
      </c>
      <c r="E69" s="410">
        <f t="shared" si="1"/>
        <v>1</v>
      </c>
      <c r="F69" s="411">
        <f>IFERROR(IF(Choix_forme='EC1-Vent'!$C$1,VLOOKUP('Configurateur IZI-PV'!$C69,Verif_Mono,17,FALSE),VLOOKUP($C69,Verif_Bi,17,FALSE)),"")</f>
        <v>2</v>
      </c>
      <c r="G69" s="412"/>
      <c r="H69" s="413">
        <f>IFERROR(IF(Choix_forme='EC1-Vent'!$C$1,VLOOKUP('Configurateur IZI-PV'!$C69,Verif_Mono,18,FALSE),VLOOKUP($C69,Verif_Bi,18,FALSE)),"")</f>
        <v>2</v>
      </c>
      <c r="K69" s="322"/>
      <c r="Q69" s="322"/>
      <c r="S69" s="51"/>
      <c r="U69" s="323"/>
    </row>
    <row r="70" spans="2:21" x14ac:dyDescent="0.3">
      <c r="B70" s="169">
        <v>4</v>
      </c>
      <c r="C70" s="408" t="str" cm="1">
        <f t="array" ref="C70">IFERROR(IF(Choix_forme='EC1-Vent'!$C$1,INDEX(Zone_Toit_Mono,'Configurateur IZI-PV'!$B70),INDEX(Zone_Toit_Bi,'Configurateur IZI-PV'!$B70)),"")</f>
        <v>Angle inf.</v>
      </c>
      <c r="D70" s="409" t="str">
        <f>IFERROR(IF(Choix_forme='EC1-Vent'!$C$1,VLOOKUP('Configurateur IZI-PV'!$C70,Verif_Mono,16,FALSE),VLOOKUP($C70,Verif_Bi,16,FALSE)),"")</f>
        <v>Surcharge</v>
      </c>
      <c r="E70" s="410" t="str">
        <f t="shared" si="1"/>
        <v/>
      </c>
      <c r="F70" s="411">
        <f>IFERROR(IF(Choix_forme='EC1-Vent'!$C$1,VLOOKUP('Configurateur IZI-PV'!$C70,Verif_Mono,17,FALSE),VLOOKUP($C70,Verif_Bi,17,FALSE)),"")</f>
        <v>2</v>
      </c>
      <c r="G70" s="412"/>
      <c r="H70" s="413">
        <f>IFERROR(IF(Choix_forme='EC1-Vent'!$C$1,VLOOKUP('Configurateur IZI-PV'!$C70,Verif_Mono,18,FALSE),VLOOKUP($C70,Verif_Bi,18,FALSE)),"")</f>
        <v>2</v>
      </c>
    </row>
    <row r="71" spans="2:21" x14ac:dyDescent="0.3">
      <c r="B71" s="169">
        <v>5</v>
      </c>
      <c r="C71" s="408" t="str" cm="1">
        <f t="array" ref="C71">IFERROR(IF(Choix_forme='EC1-Vent'!$C$1,INDEX(Zone_Toit_Mono,'Configurateur IZI-PV'!$B71),INDEX(Zone_Toit_Bi,'Configurateur IZI-PV'!$B71)),"")</f>
        <v/>
      </c>
      <c r="D71" s="409" t="str">
        <f>IFERROR(IF(Choix_forme='EC1-Vent'!$C$1,VLOOKUP('Configurateur IZI-PV'!$C71,Verif_Mono,16,FALSE),VLOOKUP($C71,Verif_Bi,16,FALSE)),"")</f>
        <v/>
      </c>
      <c r="E71" s="410" t="str">
        <f t="shared" si="1"/>
        <v/>
      </c>
      <c r="F71" s="411" t="str">
        <f>IFERROR(IF(Choix_forme='EC1-Vent'!$C$1,VLOOKUP('Configurateur IZI-PV'!$C71,Verif_Mono,17,FALSE),VLOOKUP($C71,Verif_Bi,17,FALSE)),"")</f>
        <v/>
      </c>
      <c r="G71" s="412"/>
      <c r="H71" s="413" t="str">
        <f>IFERROR(IF(Choix_forme='EC1-Vent'!$C$1,VLOOKUP('Configurateur IZI-PV'!$C71,Verif_Mono,18,FALSE),VLOOKUP($C71,Verif_Bi,18,FALSE)),"")</f>
        <v/>
      </c>
    </row>
    <row r="72" spans="2:21" x14ac:dyDescent="0.3">
      <c r="B72" s="169">
        <v>6</v>
      </c>
      <c r="C72" s="414" t="str" cm="1">
        <f t="array" ref="C72">IFERROR(IF(Choix_forme='EC1-Vent'!$C$1,INDEX(Zone_Toit_Mono,'Configurateur IZI-PV'!$B72),INDEX(Zone_Toit_Bi,'Configurateur IZI-PV'!$B72)),"")</f>
        <v/>
      </c>
      <c r="D72" s="415" t="str">
        <f>IFERROR(IF(Choix_forme='EC1-Vent'!$C$1,VLOOKUP('Configurateur IZI-PV'!$C72,Verif_Mono,16,FALSE),VLOOKUP($C72,Verif_Bi,16,FALSE)),"")</f>
        <v/>
      </c>
      <c r="E72" s="416" t="str">
        <f t="shared" si="1"/>
        <v/>
      </c>
      <c r="F72" s="417" t="str">
        <f>IFERROR(IF(Choix_forme='EC1-Vent'!$C$1,VLOOKUP('Configurateur IZI-PV'!$C72,Verif_Mono,17,FALSE),VLOOKUP($C72,Verif_Bi,17,FALSE)),"")</f>
        <v/>
      </c>
      <c r="G72" s="418"/>
      <c r="H72" s="419" t="str">
        <f>IFERROR(IF(Choix_forme='EC1-Vent'!$C$1,VLOOKUP('Configurateur IZI-PV'!$C72,Verif_Mono,18,FALSE),VLOOKUP($C72,Verif_Bi,18,FALSE)),"")</f>
        <v/>
      </c>
    </row>
  </sheetData>
  <sheetProtection sheet="1" objects="1" selectLockedCells="1"/>
  <mergeCells count="6">
    <mergeCell ref="S66:S67"/>
    <mergeCell ref="D43:G43"/>
    <mergeCell ref="D25:E25"/>
    <mergeCell ref="D32:E32"/>
    <mergeCell ref="M56:M57"/>
    <mergeCell ref="M66:M67"/>
  </mergeCells>
  <conditionalFormatting sqref="D15">
    <cfRule type="cellIs" dxfId="13" priority="13" operator="greaterThan">
      <formula>25</formula>
    </cfRule>
  </conditionalFormatting>
  <conditionalFormatting sqref="D58:D63">
    <cfRule type="expression" dxfId="12" priority="1">
      <formula>$D58=Surcharge</formula>
    </cfRule>
  </conditionalFormatting>
  <dataValidations count="19">
    <dataValidation type="list" allowBlank="1" showInputMessage="1" showErrorMessage="1" sqref="D14" xr:uid="{3B2BF8FA-C348-42DF-B9A0-CB083370AFBD}">
      <formula1>Couverture</formula1>
    </dataValidation>
    <dataValidation type="list" allowBlank="1" showInputMessage="1" showErrorMessage="1" sqref="D25" xr:uid="{F264AC06-EEC4-42A5-93A0-F245F18DFC93}">
      <formula1>croch_comp</formula1>
    </dataValidation>
    <dataValidation type="whole" allowBlank="1" showInputMessage="1" showErrorMessage="1" sqref="D15" xr:uid="{3054ED18-0263-4FA6-B615-9D4643AAA9F9}">
      <formula1>0</formula1>
      <formula2>25</formula2>
    </dataValidation>
    <dataValidation type="list" allowBlank="1" showInputMessage="1" showErrorMessage="1" sqref="D26" xr:uid="{4EDCDD88-F534-4773-9CCA-BF14E728A970}">
      <formula1>Couleur</formula1>
    </dataValidation>
    <dataValidation type="list" allowBlank="1" showInputMessage="1" showErrorMessage="1" sqref="D32:E32" xr:uid="{CB63D4DE-47AA-4400-909B-AD4D0551ABF9}">
      <formula1>Mode_pose</formula1>
    </dataValidation>
    <dataValidation type="decimal" operator="greaterThanOrEqual" allowBlank="1" showInputMessage="1" showErrorMessage="1" sqref="I25:I26" xr:uid="{E8F33FBA-6819-4474-9531-8A8C2B5E5093}">
      <formula1>0</formula1>
    </dataValidation>
    <dataValidation operator="lessThanOrEqual" allowBlank="1" showInputMessage="1" showErrorMessage="1" sqref="I34:I35" xr:uid="{21065D16-C5B4-4331-A2C2-F424AC197927}"/>
    <dataValidation type="whole" allowBlank="1" showInputMessage="1" showErrorMessage="1" sqref="D21" xr:uid="{D9BD67D5-99F2-4C8F-BD95-45BA58F59129}">
      <formula1>0</formula1>
      <formula2>Entr_panne_max</formula2>
    </dataValidation>
    <dataValidation type="whole" allowBlank="1" showInputMessage="1" showErrorMessage="1" sqref="I27" xr:uid="{08DCA263-D9D2-47D8-B7A5-99AFA45317A6}">
      <formula1>30</formula1>
      <formula2>50</formula2>
    </dataValidation>
    <dataValidation type="whole" operator="greaterThan" allowBlank="1" showInputMessage="1" showErrorMessage="1" sqref="I28" xr:uid="{E0A1132A-C812-4867-B783-FF18300600B0}">
      <formula1>0</formula1>
    </dataValidation>
    <dataValidation type="list" allowBlank="1" showInputMessage="1" showErrorMessage="1" sqref="D19" xr:uid="{B2CDDF5E-707D-4DBF-A365-3F88FCCF3D41}">
      <formula1>Charpente</formula1>
    </dataValidation>
    <dataValidation type="whole" allowBlank="1" showInputMessage="1" showErrorMessage="1" sqref="D20" xr:uid="{B0990CAD-0942-4119-8FC4-C6957EF452F5}">
      <formula1>0</formula1>
      <formula2>entr_croch_max</formula2>
    </dataValidation>
    <dataValidation type="list" allowBlank="1" showInputMessage="1" showErrorMessage="1" sqref="D7" xr:uid="{BD46304E-2218-401D-B66F-513FB1CCC753}">
      <formula1>Vent_Zone</formula1>
    </dataValidation>
    <dataValidation type="list" allowBlank="1" showInputMessage="1" showErrorMessage="1" sqref="D8" xr:uid="{6B01283D-D4D2-46CF-BEBC-10C8CBD02E4F}">
      <formula1>Cat_Terrain</formula1>
    </dataValidation>
    <dataValidation type="list" allowBlank="1" showInputMessage="1" showErrorMessage="1" sqref="D9" xr:uid="{E6D56B91-AEA8-48ED-B45B-FA3293970CC0}">
      <formula1>Neige_Zones</formula1>
    </dataValidation>
    <dataValidation type="list" allowBlank="1" showInputMessage="1" showErrorMessage="1" sqref="D13" xr:uid="{15FA3062-84B3-466B-8DA1-5F0AD285A69B}">
      <formula1>Toit_Forme</formula1>
    </dataValidation>
    <dataValidation type="whole" allowBlank="1" showInputMessage="1" showErrorMessage="1" sqref="I29" xr:uid="{137D030D-2E7B-44E1-9BB4-E15C10172A77}">
      <formula1>0</formula1>
      <formula2>50</formula2>
    </dataValidation>
    <dataValidation type="list" allowBlank="1" showInputMessage="1" showErrorMessage="1" sqref="O36" xr:uid="{4308A3BC-6532-438A-9A6B-2B24B672C4EF}">
      <formula1>Implant_PV</formula1>
    </dataValidation>
    <dataValidation type="list" allowBlank="1" showInputMessage="1" showErrorMessage="1" sqref="D22" xr:uid="{F58C8D1B-4256-46DD-A02B-9E796CBF1853}">
      <formula1>panne_type</formula1>
    </dataValidation>
  </dataValidations>
  <pageMargins left="0.7" right="0.7" top="0.75" bottom="0.75" header="0.3" footer="0.3"/>
  <pageSetup paperSize="9" orientation="portrait" horizontalDpi="4294967293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EE4B92B-48B4-41EB-91F8-528A65D81BC3}">
            <xm:f>$D$13='EC1-Vent'!$C$2</xm:f>
            <x14:dxf>
              <fill>
                <patternFill>
                  <bgColor theme="8" tint="0.39994506668294322"/>
                </patternFill>
              </fill>
            </x14:dxf>
          </x14:cfRule>
          <xm:sqref>C57:C61</xm:sqref>
        </x14:conditionalFormatting>
        <x14:conditionalFormatting xmlns:xm="http://schemas.microsoft.com/office/excel/2006/main">
          <x14:cfRule type="expression" priority="2" id="{8917A6C3-ADFE-4901-806C-C2A971E1C702}">
            <xm:f>$D$13='EC1-Vent'!$C$1</xm:f>
            <x14:dxf>
              <fill>
                <patternFill>
                  <bgColor theme="9" tint="0.59996337778862885"/>
                </patternFill>
              </fill>
            </x14:dxf>
          </x14:cfRule>
          <xm:sqref>C57:C63</xm:sqref>
        </x14:conditionalFormatting>
        <x14:conditionalFormatting xmlns:xm="http://schemas.microsoft.com/office/excel/2006/main">
          <x14:cfRule type="expression" priority="19" id="{402CA5A2-740B-4029-B3BD-3EEE586FCFCB}">
            <xm:f>AND(NOT($D$25='Config type'!$B$11),NOT($D$25='Config type'!$B$12),NOT($D$25='Config type'!$B$13),NOT($D$25='Config type'!$B$14),NOT($D$25='Config type'!$B$15),NOT($D$25='Config type'!$B$16))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D25</xm:sqref>
        </x14:conditionalFormatting>
        <x14:conditionalFormatting xmlns:xm="http://schemas.microsoft.com/office/excel/2006/main">
          <x14:cfRule type="expression" priority="24" id="{F752FA14-0F8C-4181-8CE1-EF56FB7F6D7F}">
            <xm:f>$D$28=Données!$G$7</xm:f>
            <x14:dxf>
              <font>
                <color auto="1"/>
              </font>
              <fill>
                <patternFill>
                  <bgColor theme="2" tint="-9.9948118533890809E-2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expression" priority="22" id="{66F5D849-782C-4742-8F10-F79BC92544BD}">
            <xm:f>AND(NOT(Choix_calep='Config type'!$B$26),NOT(Choix_calep='Config type'!$B$27),NOT(Choix_calep='Config type'!$B$28))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D32</xm:sqref>
        </x14:conditionalFormatting>
        <x14:conditionalFormatting xmlns:xm="http://schemas.microsoft.com/office/excel/2006/main">
          <x14:cfRule type="expression" priority="17" id="{D9E57C42-B3A9-4D04-9505-87AD3125D652}">
            <xm:f>OR(I34=Données!$C$13,I34=Données!$C$14)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I34:I35</xm:sqref>
        </x14:conditionalFormatting>
        <x14:conditionalFormatting xmlns:xm="http://schemas.microsoft.com/office/excel/2006/main">
          <x14:cfRule type="expression" priority="21" id="{8AF03E20-1B9D-4904-BA94-6D8D455AFA80}">
            <xm:f>$I$36=Données!$C$15</xm:f>
            <x14:dxf>
              <font>
                <color theme="5" tint="-0.499984740745262"/>
              </font>
              <fill>
                <patternFill>
                  <bgColor theme="7" tint="0.79998168889431442"/>
                </patternFill>
              </fill>
            </x14:dxf>
          </x14:cfRule>
          <xm:sqref>I36:J36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68F4E65-FE18-4950-B61D-51A3A80E7B78}">
          <x14:formula1>
            <xm:f>Données!$D$5</xm:f>
          </x14:formula1>
          <xm:sqref>D27</xm:sqref>
        </x14:dataValidation>
        <x14:dataValidation type="list" allowBlank="1" showInputMessage="1" showErrorMessage="1" xr:uid="{3CA11A33-C6A3-4715-AF9D-45FB1154C759}">
          <x14:formula1>
            <xm:f>Données!$C$7:$G$7</xm:f>
          </x14:formula1>
          <xm:sqref>D28</xm:sqref>
        </x14:dataValidation>
        <x14:dataValidation type="decimal" allowBlank="1" showInputMessage="1" showErrorMessage="1" xr:uid="{9C035131-3B74-4A3B-B35D-58A37C30D4A4}">
          <x14:formula1>
            <xm:f>'Config type'!B19</xm:f>
          </x14:formula1>
          <x14:formula2>
            <xm:f>'Config type'!B20</xm:f>
          </x14:formula2>
          <xm:sqref>D18</xm:sqref>
        </x14:dataValidation>
        <x14:dataValidation type="decimal" allowBlank="1" showInputMessage="1" showErrorMessage="1" xr:uid="{727D3BBA-63BD-4D20-B459-F2C8F71FD326}">
          <x14:formula1>
            <xm:f>0</xm:f>
          </x14:formula1>
          <x14:formula2>
            <xm:f>'Config type'!B21</xm:f>
          </x14:formula2>
          <xm:sqref>D16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FFEAE-58CF-46AB-9FBC-39F794945981}">
  <dimension ref="A2:F29"/>
  <sheetViews>
    <sheetView showGridLines="0" showRuler="0" view="pageLayout" zoomScale="88" zoomScaleNormal="100" zoomScalePageLayoutView="88" workbookViewId="0">
      <selection activeCell="A4" sqref="A4:B5"/>
    </sheetView>
  </sheetViews>
  <sheetFormatPr baseColWidth="10" defaultColWidth="11.5546875" defaultRowHeight="14.4" x14ac:dyDescent="0.3"/>
  <cols>
    <col min="1" max="1" width="15" customWidth="1"/>
    <col min="2" max="2" width="19.6640625" customWidth="1"/>
    <col min="3" max="3" width="20.109375" customWidth="1"/>
    <col min="4" max="4" width="5.33203125" customWidth="1"/>
    <col min="5" max="6" width="10.6640625" customWidth="1"/>
    <col min="7" max="7" width="10.88671875" bestFit="1" customWidth="1"/>
  </cols>
  <sheetData>
    <row r="2" spans="1:6" x14ac:dyDescent="0.3">
      <c r="A2" s="235" t="s">
        <v>401</v>
      </c>
    </row>
    <row r="3" spans="1:6" ht="9" customHeight="1" x14ac:dyDescent="0.3"/>
    <row r="4" spans="1:6" ht="18" x14ac:dyDescent="0.3">
      <c r="A4" s="454"/>
      <c r="B4" s="454"/>
      <c r="C4" s="25" t="s">
        <v>138</v>
      </c>
      <c r="D4" s="434"/>
      <c r="E4" s="163"/>
      <c r="F4" s="163"/>
    </row>
    <row r="5" spans="1:6" ht="15.6" x14ac:dyDescent="0.3">
      <c r="A5" s="453"/>
      <c r="B5" s="453"/>
      <c r="C5" s="25" t="s">
        <v>139</v>
      </c>
      <c r="D5" s="439" t="str">
        <f>IF('Configurateur IZI-PV'!D5=0,"",'Configurateur IZI-PV'!D5)</f>
        <v/>
      </c>
      <c r="E5" s="440"/>
      <c r="F5" s="440"/>
    </row>
    <row r="6" spans="1:6" ht="15.6" x14ac:dyDescent="0.3">
      <c r="A6" s="453"/>
      <c r="B6" s="453"/>
      <c r="D6" s="50" t="str">
        <f>IF('Configurateur IZI-PV'!D6=0,"",'Configurateur IZI-PV'!D6)</f>
        <v/>
      </c>
      <c r="E6" s="51"/>
      <c r="F6" s="51"/>
    </row>
    <row r="7" spans="1:6" x14ac:dyDescent="0.3">
      <c r="A7" s="145"/>
      <c r="C7" s="25" t="s">
        <v>144</v>
      </c>
      <c r="D7" s="435"/>
      <c r="E7" s="188"/>
      <c r="F7" s="188"/>
    </row>
    <row r="8" spans="1:6" x14ac:dyDescent="0.3">
      <c r="C8" s="441" t="s">
        <v>402</v>
      </c>
      <c r="D8" s="436"/>
      <c r="E8" s="165"/>
      <c r="F8" s="165"/>
    </row>
    <row r="9" spans="1:6" x14ac:dyDescent="0.3">
      <c r="A9" s="146"/>
      <c r="D9" s="437"/>
      <c r="E9" s="164"/>
      <c r="F9" s="164"/>
    </row>
    <row r="10" spans="1:6" x14ac:dyDescent="0.3">
      <c r="A10" s="158" t="s">
        <v>5</v>
      </c>
      <c r="B10" s="186" t="str">
        <f>choix_couv</f>
        <v>Tuile méca</v>
      </c>
      <c r="D10" s="155"/>
    </row>
    <row r="11" spans="1:6" x14ac:dyDescent="0.3">
      <c r="A11" s="158" t="s">
        <v>146</v>
      </c>
      <c r="B11" s="186" t="str">
        <f>mod_haut&amp;" x "&amp;mod_larg&amp;" x "&amp;mod_ep&amp;" mm"</f>
        <v>1550 x 1134 x 30 mm</v>
      </c>
      <c r="D11" s="155"/>
    </row>
    <row r="12" spans="1:6" x14ac:dyDescent="0.3">
      <c r="A12" s="158" t="s">
        <v>147</v>
      </c>
      <c r="B12" s="186" t="str">
        <f>nb_ligne&amp;" L x "&amp;nb_colonne&amp;" C"</f>
        <v>3 L x 7 C</v>
      </c>
      <c r="D12" s="155"/>
    </row>
    <row r="13" spans="1:6" ht="15.6" x14ac:dyDescent="0.3">
      <c r="A13" s="158" t="s">
        <v>148</v>
      </c>
      <c r="B13" s="186" t="str">
        <f>Choix_calep</f>
        <v>Portrait - Rail horizontal</v>
      </c>
      <c r="E13" s="157" t="s">
        <v>145</v>
      </c>
      <c r="F13" s="166"/>
    </row>
    <row r="14" spans="1:6" ht="18.600000000000001" customHeight="1" thickBot="1" x14ac:dyDescent="0.35">
      <c r="A14" s="146"/>
    </row>
    <row r="15" spans="1:6" ht="23.4" customHeight="1" thickBot="1" x14ac:dyDescent="0.35">
      <c r="A15" s="198" t="s">
        <v>15</v>
      </c>
      <c r="B15" s="423" t="s">
        <v>75</v>
      </c>
      <c r="C15" s="199"/>
      <c r="D15" s="200" t="s">
        <v>140</v>
      </c>
      <c r="E15" s="199" t="s">
        <v>16</v>
      </c>
      <c r="F15" s="201" t="s">
        <v>84</v>
      </c>
    </row>
    <row r="16" spans="1:6" ht="39.6" customHeight="1" x14ac:dyDescent="0.3">
      <c r="A16" s="202" t="str">
        <f>'Configurateur IZI-PV'!C44</f>
        <v>380073 V3</v>
      </c>
      <c r="B16" s="424" t="str">
        <f>'Configurateur IZI-PV'!D44</f>
        <v>Rails Alu 2400 mm 36.5x H50 mm V3 - IZIPV</v>
      </c>
      <c r="C16" s="180"/>
      <c r="D16" s="178">
        <f>'Configurateur IZI-PV'!H44</f>
        <v>24</v>
      </c>
      <c r="E16" s="444"/>
      <c r="F16" s="203">
        <f t="shared" ref="F16:F25" si="0">IFERROR(E16*(1-$F$13)*D16,"")</f>
        <v>0</v>
      </c>
    </row>
    <row r="17" spans="1:6" ht="39.6" customHeight="1" x14ac:dyDescent="0.3">
      <c r="A17" s="204" t="str">
        <f>'Configurateur IZI-PV'!C45</f>
        <v>380063 V3</v>
      </c>
      <c r="B17" s="151" t="str">
        <f>'Configurateur IZI-PV'!D45</f>
        <v>QCC V3 - IZIPV</v>
      </c>
      <c r="C17" s="181"/>
      <c r="D17" s="179">
        <f>'Configurateur IZI-PV'!H45</f>
        <v>18</v>
      </c>
      <c r="E17" s="445"/>
      <c r="F17" s="205">
        <f t="shared" si="0"/>
        <v>0</v>
      </c>
    </row>
    <row r="18" spans="1:6" ht="39.6" customHeight="1" x14ac:dyDescent="0.3">
      <c r="A18" s="204">
        <f>'Configurateur IZI-PV'!C46</f>
        <v>380074</v>
      </c>
      <c r="B18" s="151" t="str">
        <f>'Configurateur IZI-PV'!D46</f>
        <v>Fin de Rails Silver - IZIPV</v>
      </c>
      <c r="C18" s="181"/>
      <c r="D18" s="179">
        <f>'Configurateur IZI-PV'!H46</f>
        <v>12</v>
      </c>
      <c r="E18" s="445"/>
      <c r="F18" s="205">
        <f t="shared" si="0"/>
        <v>0</v>
      </c>
    </row>
    <row r="19" spans="1:6" ht="39.6" customHeight="1" x14ac:dyDescent="0.3">
      <c r="A19" s="204" t="str">
        <f>'Configurateur IZI-PV'!C47</f>
        <v>380062 V3</v>
      </c>
      <c r="B19" s="151" t="str">
        <f>'Configurateur IZI-PV'!D47</f>
        <v>Fixations Alu Exter V3 - IZIPV</v>
      </c>
      <c r="C19" s="181"/>
      <c r="D19" s="179">
        <f>'Configurateur IZI-PV'!H47</f>
        <v>12</v>
      </c>
      <c r="E19" s="445"/>
      <c r="F19" s="205">
        <f t="shared" si="0"/>
        <v>0</v>
      </c>
    </row>
    <row r="20" spans="1:6" ht="39.6" customHeight="1" x14ac:dyDescent="0.3">
      <c r="A20" s="204" t="str">
        <f>'Configurateur IZI-PV'!C48</f>
        <v>380061 V3</v>
      </c>
      <c r="B20" s="151" t="str">
        <f>'Configurateur IZI-PV'!D48</f>
        <v>Fixations Alu Inter V3 - IZIPV</v>
      </c>
      <c r="C20" s="181"/>
      <c r="D20" s="179">
        <f>'Configurateur IZI-PV'!H48</f>
        <v>36</v>
      </c>
      <c r="E20" s="445"/>
      <c r="F20" s="205">
        <f t="shared" si="0"/>
        <v>0</v>
      </c>
    </row>
    <row r="21" spans="1:6" ht="39.6" customHeight="1" x14ac:dyDescent="0.3">
      <c r="A21" s="204">
        <f>'Configurateur IZI-PV'!C49</f>
        <v>380082</v>
      </c>
      <c r="B21" s="151" t="str">
        <f>'Configurateur IZI-PV'!D49</f>
        <v>Crochet standard réglable V3</v>
      </c>
      <c r="C21" s="181"/>
      <c r="D21" s="179">
        <f>'Configurateur IZI-PV'!H49</f>
        <v>84</v>
      </c>
      <c r="E21" s="445"/>
      <c r="F21" s="205">
        <f t="shared" si="0"/>
        <v>0</v>
      </c>
    </row>
    <row r="22" spans="1:6" ht="39.6" customHeight="1" x14ac:dyDescent="0.3">
      <c r="A22" s="204" t="str">
        <f>'Configurateur IZI-PV'!C50</f>
        <v>380015 V3</v>
      </c>
      <c r="B22" s="151" t="str">
        <f>'Configurateur IZI-PV'!D50</f>
        <v>Vis à bois 6*80 (l unité) V3 - IZIPV</v>
      </c>
      <c r="C22" s="181"/>
      <c r="D22" s="179">
        <f>'Configurateur IZI-PV'!H50</f>
        <v>252</v>
      </c>
      <c r="E22" s="445"/>
      <c r="F22" s="205">
        <f t="shared" si="0"/>
        <v>0</v>
      </c>
    </row>
    <row r="23" spans="1:6" ht="39.6" customHeight="1" x14ac:dyDescent="0.3">
      <c r="A23" s="204">
        <f>'Configurateur IZI-PV'!C51</f>
        <v>380049</v>
      </c>
      <c r="B23" s="151" t="str">
        <f>'Configurateur IZI-PV'!D51</f>
        <v>Terragrif Domos</v>
      </c>
      <c r="C23" s="181"/>
      <c r="D23" s="179">
        <f>'Configurateur IZI-PV'!H51</f>
        <v>21</v>
      </c>
      <c r="E23" s="445"/>
      <c r="F23" s="205">
        <f t="shared" si="0"/>
        <v>0</v>
      </c>
    </row>
    <row r="24" spans="1:6" ht="39.6" customHeight="1" x14ac:dyDescent="0.3">
      <c r="A24" s="204" t="str">
        <f>'Configurateur IZI-PV'!C52</f>
        <v/>
      </c>
      <c r="B24" s="151" t="str">
        <f>'Configurateur IZI-PV'!D52</f>
        <v/>
      </c>
      <c r="C24" s="181"/>
      <c r="D24" s="179" t="str">
        <f>'Configurateur IZI-PV'!H52</f>
        <v/>
      </c>
      <c r="E24" s="445"/>
      <c r="F24" s="205" t="str">
        <f t="shared" si="0"/>
        <v/>
      </c>
    </row>
    <row r="25" spans="1:6" ht="39.6" customHeight="1" thickBot="1" x14ac:dyDescent="0.35">
      <c r="A25" s="208" t="str">
        <f>'Configurateur IZI-PV'!C53</f>
        <v/>
      </c>
      <c r="B25" s="425" t="str">
        <f>'Configurateur IZI-PV'!D53</f>
        <v/>
      </c>
      <c r="C25" s="209"/>
      <c r="D25" s="210" t="str">
        <f>'Configurateur IZI-PV'!H53</f>
        <v/>
      </c>
      <c r="E25" s="446"/>
      <c r="F25" s="211" t="str">
        <f t="shared" si="0"/>
        <v/>
      </c>
    </row>
    <row r="26" spans="1:6" ht="9.6" customHeight="1" x14ac:dyDescent="0.3">
      <c r="A26" s="15"/>
      <c r="B26" s="50"/>
      <c r="D26" s="15"/>
      <c r="E26" s="207"/>
      <c r="F26" s="206"/>
    </row>
    <row r="27" spans="1:6" ht="15" customHeight="1" x14ac:dyDescent="0.3">
      <c r="D27" s="158" t="s">
        <v>141</v>
      </c>
      <c r="E27" s="212"/>
      <c r="F27" s="213">
        <f>SUM(F16:F24)</f>
        <v>0</v>
      </c>
    </row>
    <row r="28" spans="1:6" ht="15" customHeight="1" x14ac:dyDescent="0.3">
      <c r="D28" s="158" t="s">
        <v>142</v>
      </c>
      <c r="E28" s="214"/>
      <c r="F28" s="215">
        <f>F27*0.2</f>
        <v>0</v>
      </c>
    </row>
    <row r="29" spans="1:6" ht="15" customHeight="1" x14ac:dyDescent="0.3">
      <c r="D29" s="158" t="s">
        <v>143</v>
      </c>
      <c r="E29" s="216"/>
      <c r="F29" s="217">
        <f>SUM(F27:F28)</f>
        <v>0</v>
      </c>
    </row>
  </sheetData>
  <sheetProtection algorithmName="SHA-512" hashValue="aFLiKlrNj5aPfnQXB/wq2Q6u1+9WaGPqaM+ydi2V19g6WjPDlTp4iBJYWK07swz6MaWD78CbAOslGPA9zWajBA==" saltValue="Ef1BuoUUvR8peyQ641lzfQ==" spinCount="100000" sheet="1" objects="1" selectLockedCells="1"/>
  <mergeCells count="3">
    <mergeCell ref="A6:B6"/>
    <mergeCell ref="A5:B5"/>
    <mergeCell ref="A4:B4"/>
  </mergeCell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E0796-6B99-4097-9326-CD57D014B677}">
  <sheetPr codeName="Feuil3"/>
  <dimension ref="A1:J75"/>
  <sheetViews>
    <sheetView zoomScale="85" zoomScaleNormal="85" workbookViewId="0">
      <selection activeCell="G21" sqref="G21"/>
    </sheetView>
  </sheetViews>
  <sheetFormatPr baseColWidth="10" defaultColWidth="11.5546875" defaultRowHeight="14.4" x14ac:dyDescent="0.3"/>
  <cols>
    <col min="1" max="1" width="14.44140625" bestFit="1" customWidth="1"/>
    <col min="2" max="2" width="21.6640625" bestFit="1" customWidth="1"/>
    <col min="3" max="3" width="14.44140625" customWidth="1"/>
    <col min="4" max="6" width="13.88671875" bestFit="1" customWidth="1"/>
    <col min="7" max="7" width="13.44140625" bestFit="1" customWidth="1"/>
    <col min="9" max="9" width="14.109375" bestFit="1" customWidth="1"/>
    <col min="10" max="10" width="30.109375" bestFit="1" customWidth="1"/>
  </cols>
  <sheetData>
    <row r="1" spans="1:10" ht="18" x14ac:dyDescent="0.35">
      <c r="A1" s="49" t="s">
        <v>188</v>
      </c>
      <c r="E1" t="s">
        <v>193</v>
      </c>
    </row>
    <row r="3" spans="1:10" ht="18" x14ac:dyDescent="0.35">
      <c r="A3" s="49" t="s">
        <v>49</v>
      </c>
      <c r="H3" t="s">
        <v>9</v>
      </c>
    </row>
    <row r="4" spans="1:10" x14ac:dyDescent="0.3">
      <c r="B4" t="s">
        <v>34</v>
      </c>
      <c r="C4" s="51" t="s">
        <v>109</v>
      </c>
      <c r="D4" s="51" t="s">
        <v>35</v>
      </c>
      <c r="H4" s="50" t="s">
        <v>38</v>
      </c>
    </row>
    <row r="5" spans="1:10" x14ac:dyDescent="0.3">
      <c r="B5" t="s">
        <v>36</v>
      </c>
      <c r="C5" s="52">
        <v>1.2</v>
      </c>
      <c r="D5" s="52">
        <v>2.4</v>
      </c>
      <c r="E5" s="52">
        <v>3.5</v>
      </c>
      <c r="H5" s="50" t="s">
        <v>39</v>
      </c>
    </row>
    <row r="6" spans="1:10" x14ac:dyDescent="0.3">
      <c r="B6" t="s">
        <v>74</v>
      </c>
      <c r="C6" s="51">
        <v>2</v>
      </c>
      <c r="D6" s="51">
        <v>3</v>
      </c>
      <c r="H6" s="50" t="s">
        <v>40</v>
      </c>
    </row>
    <row r="7" spans="1:10" x14ac:dyDescent="0.3">
      <c r="B7" t="s">
        <v>171</v>
      </c>
      <c r="C7" t="s">
        <v>363</v>
      </c>
      <c r="D7" t="s">
        <v>364</v>
      </c>
      <c r="E7" s="50" t="s">
        <v>175</v>
      </c>
      <c r="F7" t="s">
        <v>176</v>
      </c>
      <c r="G7" s="50" t="s">
        <v>177</v>
      </c>
      <c r="H7" s="50" t="s">
        <v>41</v>
      </c>
    </row>
    <row r="8" spans="1:10" x14ac:dyDescent="0.3">
      <c r="B8" t="s">
        <v>388</v>
      </c>
      <c r="C8">
        <v>4</v>
      </c>
      <c r="D8">
        <v>3</v>
      </c>
      <c r="E8">
        <f>2</f>
        <v>2</v>
      </c>
      <c r="F8">
        <v>1</v>
      </c>
      <c r="G8">
        <v>0</v>
      </c>
    </row>
    <row r="9" spans="1:10" x14ac:dyDescent="0.3">
      <c r="B9" t="s">
        <v>387</v>
      </c>
      <c r="C9">
        <v>2</v>
      </c>
      <c r="D9">
        <v>2</v>
      </c>
      <c r="E9">
        <v>1</v>
      </c>
      <c r="F9">
        <v>1</v>
      </c>
      <c r="G9">
        <v>0</v>
      </c>
    </row>
    <row r="10" spans="1:10" x14ac:dyDescent="0.3">
      <c r="B10" t="s">
        <v>390</v>
      </c>
      <c r="C10" t="s">
        <v>391</v>
      </c>
      <c r="D10" t="s">
        <v>392</v>
      </c>
    </row>
    <row r="12" spans="1:10" ht="18" x14ac:dyDescent="0.35">
      <c r="A12" s="49" t="s">
        <v>43</v>
      </c>
    </row>
    <row r="13" spans="1:10" x14ac:dyDescent="0.3">
      <c r="B13" s="25" t="s">
        <v>44</v>
      </c>
      <c r="C13" t="s">
        <v>45</v>
      </c>
      <c r="I13" t="s">
        <v>153</v>
      </c>
    </row>
    <row r="14" spans="1:10" x14ac:dyDescent="0.3">
      <c r="B14" s="25" t="s">
        <v>48</v>
      </c>
      <c r="C14" t="s">
        <v>45</v>
      </c>
    </row>
    <row r="15" spans="1:10" x14ac:dyDescent="0.3">
      <c r="B15" s="25" t="s">
        <v>71</v>
      </c>
      <c r="C15" t="str">
        <f>"Débord de rail important : "&amp;Porte_a_faux/10&amp;" cm"</f>
        <v>Débord de rail important : 5 cm</v>
      </c>
      <c r="I15">
        <v>1</v>
      </c>
      <c r="J15" t="s">
        <v>154</v>
      </c>
    </row>
    <row r="16" spans="1:10" x14ac:dyDescent="0.3">
      <c r="B16" s="25" t="s">
        <v>393</v>
      </c>
      <c r="C16" t="s">
        <v>394</v>
      </c>
    </row>
    <row r="17" spans="1:10" x14ac:dyDescent="0.3">
      <c r="I17">
        <v>2</v>
      </c>
      <c r="J17" t="s">
        <v>155</v>
      </c>
    </row>
    <row r="18" spans="1:10" ht="18" x14ac:dyDescent="0.35">
      <c r="A18" s="49" t="s">
        <v>63</v>
      </c>
      <c r="B18" s="155" t="s">
        <v>172</v>
      </c>
      <c r="C18" s="420">
        <f>MAX('Configurateur IZI-PV'!F58:F63)</f>
        <v>2</v>
      </c>
      <c r="I18">
        <v>3</v>
      </c>
      <c r="J18" t="s">
        <v>156</v>
      </c>
    </row>
    <row r="19" spans="1:10" ht="18" x14ac:dyDescent="0.35">
      <c r="A19" s="49"/>
      <c r="B19" t="s">
        <v>164</v>
      </c>
      <c r="C19" s="57">
        <v>1500</v>
      </c>
      <c r="H19" s="49"/>
      <c r="I19">
        <v>4</v>
      </c>
      <c r="J19" t="s">
        <v>159</v>
      </c>
    </row>
    <row r="20" spans="1:10" ht="18" x14ac:dyDescent="0.35">
      <c r="A20" s="49"/>
      <c r="B20" t="s">
        <v>395</v>
      </c>
      <c r="C20" s="433">
        <f>IF(OR('Configurateur IZI-PV'!$D$58=Surcharge,'Configurateur IZI-PV'!$D$59=Surcharge,'Configurateur IZI-PV'!$D$60=Surcharge,'Configurateur IZI-PV'!$D$61=Surcharge,,'Configurateur IZI-PV'!$D$62=Surcharge,'Configurateur IZI-PV'!$D$63=Surcharge),0,MIN('Configurateur IZI-PV'!$D$58:$D$63))</f>
        <v>600</v>
      </c>
      <c r="H20" s="49"/>
    </row>
    <row r="21" spans="1:10" ht="18" x14ac:dyDescent="0.35">
      <c r="A21" s="49"/>
      <c r="B21" t="s">
        <v>57</v>
      </c>
      <c r="C21" s="58">
        <v>1500</v>
      </c>
      <c r="H21" s="49"/>
      <c r="I21">
        <v>5</v>
      </c>
      <c r="J21" t="s">
        <v>160</v>
      </c>
    </row>
    <row r="22" spans="1:10" x14ac:dyDescent="0.3">
      <c r="B22" t="s">
        <v>64</v>
      </c>
      <c r="C22" s="59">
        <v>500</v>
      </c>
      <c r="E22" s="25" t="s">
        <v>20</v>
      </c>
      <c r="F22" s="61">
        <f>mod_haut</f>
        <v>1550</v>
      </c>
      <c r="I22">
        <v>6</v>
      </c>
      <c r="J22" t="s">
        <v>161</v>
      </c>
    </row>
    <row r="23" spans="1:10" x14ac:dyDescent="0.3">
      <c r="B23" t="s">
        <v>65</v>
      </c>
      <c r="C23" s="59">
        <v>400</v>
      </c>
      <c r="E23" s="25" t="s">
        <v>21</v>
      </c>
      <c r="F23" s="61">
        <f>mod_larg</f>
        <v>1134</v>
      </c>
      <c r="I23">
        <v>7</v>
      </c>
      <c r="J23" t="s">
        <v>162</v>
      </c>
    </row>
    <row r="24" spans="1:10" x14ac:dyDescent="0.3">
      <c r="B24" t="s">
        <v>66</v>
      </c>
      <c r="C24" s="59">
        <v>200</v>
      </c>
      <c r="D24" t="s">
        <v>163</v>
      </c>
      <c r="E24" s="25" t="s">
        <v>33</v>
      </c>
      <c r="F24" s="61">
        <f>mod_ep</f>
        <v>30</v>
      </c>
    </row>
    <row r="25" spans="1:10" x14ac:dyDescent="0.3">
      <c r="B25" t="s">
        <v>67</v>
      </c>
      <c r="C25" s="59">
        <v>50</v>
      </c>
      <c r="E25" s="25" t="s">
        <v>78</v>
      </c>
      <c r="F25" s="62">
        <f>Long_rail</f>
        <v>2.4</v>
      </c>
    </row>
    <row r="26" spans="1:10" x14ac:dyDescent="0.3">
      <c r="B26" t="s">
        <v>77</v>
      </c>
      <c r="C26" s="59">
        <v>50</v>
      </c>
    </row>
    <row r="27" spans="1:10" x14ac:dyDescent="0.3">
      <c r="B27" t="s">
        <v>69</v>
      </c>
      <c r="C27" s="59">
        <v>25</v>
      </c>
      <c r="F27" s="61" t="str">
        <f>Choix_calep</f>
        <v>Portrait - Rail horizontal</v>
      </c>
    </row>
    <row r="28" spans="1:10" x14ac:dyDescent="0.3">
      <c r="B28" t="s">
        <v>70</v>
      </c>
      <c r="C28" s="59">
        <v>20</v>
      </c>
      <c r="E28" t="s">
        <v>10</v>
      </c>
      <c r="F28" s="61">
        <f>nb_ligne</f>
        <v>3</v>
      </c>
    </row>
    <row r="29" spans="1:10" x14ac:dyDescent="0.3">
      <c r="B29" t="s">
        <v>72</v>
      </c>
      <c r="C29" s="60">
        <v>5</v>
      </c>
      <c r="E29" t="s">
        <v>11</v>
      </c>
      <c r="F29" s="61">
        <f>nb_colonne</f>
        <v>7</v>
      </c>
    </row>
    <row r="31" spans="1:10" ht="28.8" x14ac:dyDescent="0.35">
      <c r="A31" s="49" t="s">
        <v>46</v>
      </c>
      <c r="D31" s="85" t="str">
        <f>$H$4</f>
        <v>Portrait - Rail horizontal</v>
      </c>
      <c r="E31" s="85" t="str">
        <f>$H$5</f>
        <v>Paysage - Rail horizontal</v>
      </c>
      <c r="F31" s="86" t="str">
        <f>$H$6</f>
        <v>Paysage - Rail Croisé</v>
      </c>
      <c r="G31" s="100" t="str">
        <f>$H$7</f>
        <v>Paysage - Rail vertical</v>
      </c>
    </row>
    <row r="32" spans="1:10" x14ac:dyDescent="0.3">
      <c r="B32" s="25" t="s">
        <v>47</v>
      </c>
      <c r="C32" s="67">
        <f t="shared" ref="C32:C37" si="0">HLOOKUP(Choix_calep,Calcul_champs_PV,MATCH(B32,$B$31:$B$59,0),FALSE)</f>
        <v>4700</v>
      </c>
      <c r="D32" s="66">
        <f>IF(nb_ligne&gt;0,mod_haut*nb_ligne+interligne*(nb_ligne-1),0)</f>
        <v>4700</v>
      </c>
      <c r="E32" s="66">
        <f>IF(nb_ligne&gt;0,mod_larg*nb_ligne+interligne*(nb_ligne-1),0)</f>
        <v>3452</v>
      </c>
      <c r="F32" s="88">
        <f>IF(nb_ligne&gt;0,mod_larg*nb_ligne+larg_bri_int*(nb_ligne-1)+2*déb_bri,0)</f>
        <v>3542</v>
      </c>
      <c r="G32" s="94">
        <f>IF(nb_ligne&gt;0,mod_larg*nb_ligne+larg_bri_int*(nb_ligne-1)+2*déb_bri,0)</f>
        <v>3542</v>
      </c>
    </row>
    <row r="33" spans="2:10" x14ac:dyDescent="0.3">
      <c r="B33" s="25" t="s">
        <v>53</v>
      </c>
      <c r="C33" s="81">
        <f t="shared" si="0"/>
        <v>8158</v>
      </c>
      <c r="D33" s="87">
        <f>D$60</f>
        <v>8158</v>
      </c>
      <c r="E33" s="87">
        <f>E$60</f>
        <v>11070</v>
      </c>
      <c r="F33" s="89">
        <f>F$60</f>
        <v>11000</v>
      </c>
      <c r="G33" s="95">
        <f>G$60</f>
        <v>11000</v>
      </c>
    </row>
    <row r="34" spans="2:10" x14ac:dyDescent="0.3">
      <c r="B34" s="25" t="s">
        <v>86</v>
      </c>
      <c r="C34" s="81">
        <f t="shared" si="0"/>
        <v>4</v>
      </c>
      <c r="D34" s="87">
        <f>IF(D33/1000/Long_rail&gt;1,ROUNDUP((D33+Interail)/1000/(Long_rail+Interail/1000),0),ROUNDUP(D33/1000/Long_rail,0))</f>
        <v>4</v>
      </c>
      <c r="E34" s="87">
        <f>IF(E33/1000/Long_rail&gt;1,ROUNDUP((E33+Interail)/1000/(Long_rail+Interail/1000),0),ROUNDUP(E33/1000/Long_rail,0))</f>
        <v>5</v>
      </c>
      <c r="F34" s="89">
        <f>IF(F33/1000/Long_rail&gt;1,ROUNDUP((F33+Interail)/1000/(Long_rail+Interail/1000),0),ROUNDUP(F33/1000/Long_rail,0))</f>
        <v>5</v>
      </c>
      <c r="G34" s="87">
        <f>IF(G32/1000/Long_rail&gt;1,ROUNDUP((G32+Interail)/1000/(Long_rail+Interail/1000),0),ROUNDUP(G32/1000/Long_rail,0))</f>
        <v>2</v>
      </c>
      <c r="I34" t="s">
        <v>157</v>
      </c>
      <c r="J34" t="s">
        <v>158</v>
      </c>
    </row>
    <row r="35" spans="2:10" x14ac:dyDescent="0.3">
      <c r="B35" s="25" t="s">
        <v>85</v>
      </c>
      <c r="C35" s="84">
        <f t="shared" si="0"/>
        <v>3</v>
      </c>
      <c r="D35" s="87">
        <f>nb_ligne</f>
        <v>3</v>
      </c>
      <c r="E35" s="87">
        <f>nb_ligne</f>
        <v>3</v>
      </c>
      <c r="F35" s="89">
        <f>ROUNDUP((F32-2*PaF_max)/entr_croch_max,0)+1</f>
        <v>4</v>
      </c>
      <c r="G35" s="87">
        <f>nb_colonne</f>
        <v>7</v>
      </c>
    </row>
    <row r="36" spans="2:10" x14ac:dyDescent="0.3">
      <c r="B36" s="25" t="s">
        <v>87</v>
      </c>
      <c r="C36" s="77">
        <f t="shared" si="0"/>
        <v>24</v>
      </c>
      <c r="D36" s="23">
        <f>choix_brid*D35*D34</f>
        <v>24</v>
      </c>
      <c r="E36" s="23">
        <f>choix_brid*E35*E34</f>
        <v>30</v>
      </c>
      <c r="F36" s="23">
        <f>F35*F34</f>
        <v>20</v>
      </c>
      <c r="G36" s="23">
        <f>choix_brid*G35*G34</f>
        <v>28</v>
      </c>
    </row>
    <row r="37" spans="2:10" x14ac:dyDescent="0.3">
      <c r="B37" s="25" t="s">
        <v>52</v>
      </c>
      <c r="C37" s="78">
        <f t="shared" si="0"/>
        <v>943.00000000000011</v>
      </c>
      <c r="D37" s="59">
        <f>IF(D33/1000/Long_rail&gt;1,MOD((D33)/1000,(Long_rail+Interail/1000)),MOD(D33/1000,Long_rail))*1000</f>
        <v>943.00000000000011</v>
      </c>
      <c r="E37" s="59">
        <f>IF(E33/1000/Long_rail&gt;1,MOD((E33)/1000,(Long_rail+Interail/1000)),MOD(E33/1000,Long_rail))*1000</f>
        <v>1450.0000000000011</v>
      </c>
      <c r="F37" s="90">
        <f>IF(F33/1000/Long_rail&gt;1,MOD((F33)/1000,(Long_rail+Interail/1000)),MOD(F33/1000,Long_rail))*1000</f>
        <v>1380.0000000000007</v>
      </c>
      <c r="G37" s="59">
        <f>IF(G32/1000/Long_rail&gt;1,MOD((G32)/1000,(Long_rail+Interail/1000)),MOD(G32/1000,Long_rail))*1000</f>
        <v>1137</v>
      </c>
    </row>
    <row r="38" spans="2:10" x14ac:dyDescent="0.3">
      <c r="B38" s="25" t="s">
        <v>59</v>
      </c>
      <c r="C38" s="78">
        <f>IF(C37&lt;75,75,C37)</f>
        <v>943.00000000000011</v>
      </c>
      <c r="D38" s="59">
        <f>IF(D37&lt;75,75,D37)</f>
        <v>943.00000000000011</v>
      </c>
      <c r="E38" s="59">
        <f>IF(E37&lt;75,75,E37)</f>
        <v>1450.0000000000011</v>
      </c>
      <c r="F38" s="90">
        <f>IF(F37&lt;75,75,F37)</f>
        <v>1380.0000000000007</v>
      </c>
      <c r="G38" s="59">
        <f>IF(G37&lt;75,75,G37)</f>
        <v>1137</v>
      </c>
    </row>
    <row r="39" spans="2:10" x14ac:dyDescent="0.3">
      <c r="B39" s="25" t="s">
        <v>60</v>
      </c>
      <c r="C39" s="69" t="str">
        <f>IF(C37&lt;75,Long_rail*1000-75+C37,"")</f>
        <v/>
      </c>
      <c r="D39" s="68" t="str">
        <f>IF(D37&lt;75,Long_rail*1000-75+D37,"")</f>
        <v/>
      </c>
      <c r="E39" s="68" t="str">
        <f>IF(E37&lt;75,Long_rail*1000-75+E37,"")</f>
        <v/>
      </c>
      <c r="F39" s="91" t="str">
        <f>IF(F37&lt;75,Long_rail*1000-75+F37,"")</f>
        <v/>
      </c>
      <c r="G39" s="68" t="str">
        <f>IF(G37&lt;75,Long_rail*1000-75+G37,"")</f>
        <v/>
      </c>
    </row>
    <row r="40" spans="2:10" x14ac:dyDescent="0.3">
      <c r="B40" s="25" t="s">
        <v>96</v>
      </c>
      <c r="C40" s="81">
        <f>(rail_ligne-1)</f>
        <v>3</v>
      </c>
      <c r="D40" s="87">
        <f>(D34-1)</f>
        <v>3</v>
      </c>
      <c r="E40" s="87">
        <f>(E34-1)</f>
        <v>4</v>
      </c>
      <c r="F40" s="87">
        <f>F34-1</f>
        <v>4</v>
      </c>
      <c r="G40" s="87">
        <f>(G34-1)</f>
        <v>1</v>
      </c>
    </row>
    <row r="41" spans="2:10" x14ac:dyDescent="0.3">
      <c r="B41" s="25" t="s">
        <v>90</v>
      </c>
      <c r="C41" s="77">
        <f>HLOOKUP(Choix_calep,Calcul_champs_PV,MATCH(B41,$B$31:$B$59,0),FALSE)</f>
        <v>18</v>
      </c>
      <c r="D41" s="68">
        <f>choix_brid*nb_ligne*D40</f>
        <v>18</v>
      </c>
      <c r="E41" s="68">
        <f>choix_brid*E35*E40</f>
        <v>24</v>
      </c>
      <c r="F41" s="91">
        <f>F40*F35</f>
        <v>16</v>
      </c>
      <c r="G41" s="68">
        <f>choix_brid*G35*G40</f>
        <v>14</v>
      </c>
    </row>
    <row r="42" spans="2:10" x14ac:dyDescent="0.3">
      <c r="B42" s="25" t="s">
        <v>98</v>
      </c>
      <c r="C42" s="81">
        <f t="shared" ref="C42:C48" si="1">HLOOKUP(Choix_calep,Calcul_champs_PV,MATCH(B42,$B$31:$B$59,0),FALSE)</f>
        <v>14</v>
      </c>
      <c r="D42" s="87" cm="1">
        <f t="array" ref="D42">ROUNDUP((D33-PaF_max*2)/Entr_croch_min,0)+1</f>
        <v>14</v>
      </c>
      <c r="E42" s="87" cm="1">
        <f t="array" ref="E42">ROUNDUP((E33-PaF_max*2)/Entr_croch_min,0)+1</f>
        <v>19</v>
      </c>
      <c r="F42" s="89" cm="1">
        <f t="array" ref="F42">ROUNDUP((F33-PaF_max*2)/Entr_croch_min,0)+1</f>
        <v>19</v>
      </c>
      <c r="G42" s="87" cm="1">
        <f t="array" ref="G42">ROUNDUP((G32-PaF_max*2)/Entr_croch_min,0)+1</f>
        <v>7</v>
      </c>
    </row>
    <row r="43" spans="2:10" x14ac:dyDescent="0.3">
      <c r="B43" s="25" t="s">
        <v>51</v>
      </c>
      <c r="C43" s="77">
        <f t="shared" si="1"/>
        <v>84</v>
      </c>
      <c r="D43" s="68">
        <f>D42*choix_brid*nb_ligne</f>
        <v>84</v>
      </c>
      <c r="E43" s="68">
        <f>E42*choix_brid*E35</f>
        <v>114</v>
      </c>
      <c r="F43" s="91">
        <f>F42*F35</f>
        <v>76</v>
      </c>
      <c r="G43" s="68">
        <f>G42*choix_brid*G35</f>
        <v>98</v>
      </c>
    </row>
    <row r="44" spans="2:10" x14ac:dyDescent="0.3">
      <c r="B44" s="25" t="s">
        <v>73</v>
      </c>
      <c r="C44" s="79">
        <f t="shared" si="1"/>
        <v>50</v>
      </c>
      <c r="D44" s="60">
        <f>(D33-D58+2*déb_bri)/2</f>
        <v>50</v>
      </c>
      <c r="E44" s="60">
        <f>(E33-E58+2*déb_bri)/2</f>
        <v>50</v>
      </c>
      <c r="F44" s="99">
        <f>(F33-F58)/2</f>
        <v>0</v>
      </c>
      <c r="G44" s="60">
        <f>(G33-G58+2*déb_bri)/2</f>
        <v>50</v>
      </c>
    </row>
    <row r="45" spans="2:10" x14ac:dyDescent="0.3">
      <c r="B45" s="25" t="s">
        <v>88</v>
      </c>
      <c r="C45" s="80">
        <f t="shared" si="1"/>
        <v>0</v>
      </c>
      <c r="D45" s="96"/>
      <c r="E45" s="96"/>
      <c r="F45" s="97">
        <f>IF(F32/1000/Long_rail&gt;1,ROUNDUP((F32+Interail)/1000/(Long_rail+Interail/1000),0),ROUNDUP(F32/1000/Long_rail,0))</f>
        <v>2</v>
      </c>
      <c r="G45" s="98"/>
    </row>
    <row r="46" spans="2:10" x14ac:dyDescent="0.3">
      <c r="B46" s="25" t="s">
        <v>89</v>
      </c>
      <c r="C46" s="81">
        <f t="shared" si="1"/>
        <v>0</v>
      </c>
      <c r="D46" s="59"/>
      <c r="E46" s="59"/>
      <c r="F46" s="89">
        <f>nb_colonne</f>
        <v>7</v>
      </c>
      <c r="G46" s="68"/>
    </row>
    <row r="47" spans="2:10" x14ac:dyDescent="0.3">
      <c r="B47" s="25" t="s">
        <v>80</v>
      </c>
      <c r="C47" s="77">
        <f t="shared" si="1"/>
        <v>0</v>
      </c>
      <c r="D47" s="59"/>
      <c r="E47" s="59"/>
      <c r="F47" s="92">
        <f>choix_brid*F46*F45</f>
        <v>28</v>
      </c>
      <c r="G47" s="68"/>
    </row>
    <row r="48" spans="2:10" x14ac:dyDescent="0.3">
      <c r="B48" s="25" t="s">
        <v>93</v>
      </c>
      <c r="C48" s="78">
        <f t="shared" si="1"/>
        <v>0</v>
      </c>
      <c r="D48" s="59"/>
      <c r="E48" s="59"/>
      <c r="F48" s="90">
        <f>IF(F32/1000/Long_rail&gt;1,MOD((F32)/1000,(Long_rail+Interail/1000)),MOD(F32/1000,Long_rail))*1000</f>
        <v>1137</v>
      </c>
      <c r="G48" s="68"/>
    </row>
    <row r="49" spans="1:9" x14ac:dyDescent="0.3">
      <c r="B49" s="25" t="s">
        <v>94</v>
      </c>
      <c r="C49" s="69">
        <f>IF(C48&lt;75,75,C48)</f>
        <v>75</v>
      </c>
      <c r="D49" s="68"/>
      <c r="E49" s="68"/>
      <c r="F49" s="91">
        <f>IF(F48&lt;75,75,F48)</f>
        <v>1137</v>
      </c>
      <c r="G49" s="68"/>
    </row>
    <row r="50" spans="1:9" x14ac:dyDescent="0.3">
      <c r="B50" s="25" t="s">
        <v>95</v>
      </c>
      <c r="C50" s="69">
        <f>IF(C48&lt;75,Long_rail*1000-75+C48,"")</f>
        <v>2325</v>
      </c>
      <c r="D50" s="68"/>
      <c r="E50" s="68"/>
      <c r="F50" s="91" t="str">
        <f>IF(F48&lt;75,Long_rail*1000-75+F48,"")</f>
        <v/>
      </c>
      <c r="G50" s="68"/>
    </row>
    <row r="51" spans="1:9" x14ac:dyDescent="0.3">
      <c r="B51" s="25" t="s">
        <v>91</v>
      </c>
      <c r="C51" s="81">
        <f>HLOOKUP(Choix_calep,Calcul_champs_PV,MATCH(B51,$B$31:$B$59,0),FALSE)</f>
        <v>0</v>
      </c>
      <c r="D51" s="59"/>
      <c r="E51" s="59"/>
      <c r="F51" s="89">
        <f>(F45-1)</f>
        <v>1</v>
      </c>
      <c r="G51" s="68"/>
    </row>
    <row r="52" spans="1:9" x14ac:dyDescent="0.3">
      <c r="B52" s="25" t="s">
        <v>92</v>
      </c>
      <c r="C52" s="77">
        <f>HLOOKUP(Choix_calep,Calcul_champs_PV,MATCH(B52,$B$31:$B$59,0),FALSE)</f>
        <v>0</v>
      </c>
      <c r="D52" s="59"/>
      <c r="E52" s="68"/>
      <c r="F52" s="91">
        <f>choix_brid*F46*F51</f>
        <v>14</v>
      </c>
      <c r="G52" s="68"/>
    </row>
    <row r="53" spans="1:9" x14ac:dyDescent="0.3">
      <c r="B53" s="25" t="s">
        <v>81</v>
      </c>
      <c r="C53" s="83">
        <f>HLOOKUP(Choix_calep,Calcul_champs_PV,MATCH(B53,$B$31:$B$59,0),FALSE)</f>
        <v>0</v>
      </c>
      <c r="D53" s="60"/>
      <c r="E53" s="71"/>
      <c r="F53" s="93">
        <f>2*F46*choix_brid*Données!F35</f>
        <v>112</v>
      </c>
      <c r="G53" s="71"/>
    </row>
    <row r="54" spans="1:9" x14ac:dyDescent="0.3">
      <c r="B54" s="25" t="s">
        <v>136</v>
      </c>
      <c r="C54" s="22">
        <f>HLOOKUP(Choix_calep,Calcul_champs_PV,MATCH(B54,$B$31:$B$59,0),FALSE)</f>
        <v>12</v>
      </c>
      <c r="D54" s="71">
        <f>2*choix_brid*nb_ligne</f>
        <v>12</v>
      </c>
      <c r="E54" s="71">
        <f>2*choix_brid*nb_ligne</f>
        <v>12</v>
      </c>
      <c r="F54" s="71">
        <f>2*choix_brid*nb_colonne</f>
        <v>28</v>
      </c>
      <c r="G54" s="71">
        <f>2*choix_brid*nb_colonne</f>
        <v>28</v>
      </c>
    </row>
    <row r="55" spans="1:9" x14ac:dyDescent="0.3">
      <c r="B55" s="25" t="s">
        <v>137</v>
      </c>
      <c r="C55" s="24">
        <f>HLOOKUP(Choix_calep,Calcul_champs_PV,MATCH(B55,$B$31:$B$59,0),FALSE)</f>
        <v>36</v>
      </c>
      <c r="D55" s="66">
        <f>choix_brid*nb_ligne*(nb_colonne-1)</f>
        <v>36</v>
      </c>
      <c r="E55" s="66">
        <f>choix_brid*nb_ligne*(nb_colonne-1)</f>
        <v>36</v>
      </c>
      <c r="F55" s="66">
        <f>choix_brid*nb_colonne*(nb_ligne-1)</f>
        <v>28</v>
      </c>
      <c r="G55" s="66">
        <f>choix_brid*nb_colonne*(nb_ligne-1)</f>
        <v>28</v>
      </c>
    </row>
    <row r="56" spans="1:9" x14ac:dyDescent="0.3">
      <c r="C56" s="22"/>
      <c r="D56" s="66"/>
      <c r="E56" s="66"/>
      <c r="F56" s="66"/>
      <c r="G56" s="66"/>
    </row>
    <row r="57" spans="1:9" x14ac:dyDescent="0.3">
      <c r="C57" t="s">
        <v>62</v>
      </c>
      <c r="D57" t="s">
        <v>62</v>
      </c>
      <c r="E57" t="s">
        <v>62</v>
      </c>
      <c r="F57" t="s">
        <v>62</v>
      </c>
    </row>
    <row r="58" spans="1:9" x14ac:dyDescent="0.3">
      <c r="B58" s="82" t="s">
        <v>97</v>
      </c>
      <c r="C58" s="63">
        <f>HLOOKUP(Choix_calep,Calcul_champs_PV,MATCH(B58,$B$31:$B$59,0),FALSE)</f>
        <v>8158</v>
      </c>
      <c r="D58" s="55">
        <f>IF(nb_colonne&gt;0,mod_larg*nb_colonne+2*déb_bri+(nb_colonne-1)*larg_bri_int,0)</f>
        <v>8158</v>
      </c>
      <c r="E58" s="55">
        <f>IF(nb_colonne&gt;0,mod_haut*nb_colonne+2*déb_bri+(nb_colonne-1)*larg_bri_int,0)</f>
        <v>11070</v>
      </c>
      <c r="F58" s="55">
        <f>IF(nb_colonne&gt;0,mod_haut*nb_colonne+(nb_colonne-1)*interligne,0)</f>
        <v>11000</v>
      </c>
      <c r="G58" s="55">
        <f>IF(nb_colonne&gt;0,mod_haut*nb_colonne+(nb_colonne-1)*interligne,0)</f>
        <v>11000</v>
      </c>
    </row>
    <row r="59" spans="1:9" x14ac:dyDescent="0.3">
      <c r="B59" t="s">
        <v>79</v>
      </c>
      <c r="C59">
        <f>MOD(long_utile,Entr_chev)/2</f>
        <v>179</v>
      </c>
      <c r="D59">
        <f>MOD(D58,Entr_chev)/2</f>
        <v>179</v>
      </c>
      <c r="E59">
        <f>MOD(E58,Entr_chev)/2</f>
        <v>135</v>
      </c>
      <c r="F59">
        <f>MOD(F58,Entr_chev)/2</f>
        <v>100</v>
      </c>
      <c r="G59">
        <f>MOD(G58,Entr_chev)/2</f>
        <v>100</v>
      </c>
    </row>
    <row r="60" spans="1:9" x14ac:dyDescent="0.3">
      <c r="B60" t="s">
        <v>68</v>
      </c>
      <c r="C60" s="15">
        <f>IF(PaF_utile&gt;PaF_max,_xlfn.CEILING.MATH(long_utile,Entr_chev)+2*deb_croch,long_utile)</f>
        <v>8158</v>
      </c>
      <c r="D60" s="15">
        <f>IF(D$59&gt;PaF_max,_xlfn.CEILING.MATH(D$58,Entr_chev)+2*deb_croch,D$58)</f>
        <v>8158</v>
      </c>
      <c r="E60" s="15">
        <f>IF(E59&gt;PaF_max,_xlfn.CEILING.MATH(E58,Entr_chev)+2*deb_croch,E58)</f>
        <v>11070</v>
      </c>
      <c r="F60" s="15">
        <f>IF(F59&gt;PaF_max,_xlfn.CEILING.MATH(F58,Entr_chev)+2*deb_croch,F58)</f>
        <v>11000</v>
      </c>
      <c r="G60" s="15">
        <f>IF(G59&gt;PaF_max,_xlfn.CEILING.MATH(G58,Entr_chev)+2*deb_croch,G58)</f>
        <v>11000</v>
      </c>
    </row>
    <row r="61" spans="1:9" x14ac:dyDescent="0.3">
      <c r="D61" s="15">
        <f>IF(D$59&gt;PaF_max,ROUND(D$58,Entr_chev)+2*deb_croch,D$58)</f>
        <v>8158</v>
      </c>
    </row>
    <row r="63" spans="1:9" x14ac:dyDescent="0.3">
      <c r="C63" t="s">
        <v>376</v>
      </c>
      <c r="D63" t="s">
        <v>377</v>
      </c>
    </row>
    <row r="64" spans="1:9" x14ac:dyDescent="0.3">
      <c r="A64">
        <v>0</v>
      </c>
      <c r="C64" s="172">
        <v>1</v>
      </c>
      <c r="D64" s="139">
        <v>2</v>
      </c>
      <c r="E64" s="139">
        <v>3</v>
      </c>
      <c r="F64" s="139">
        <v>4</v>
      </c>
      <c r="G64" s="139">
        <v>5</v>
      </c>
      <c r="H64" s="183">
        <v>6</v>
      </c>
      <c r="I64" s="2">
        <f>choix_impl</f>
        <v>3</v>
      </c>
    </row>
    <row r="65" spans="1:9" x14ac:dyDescent="0.3">
      <c r="A65">
        <f>IF(I65="oui",LARGE($A$64:$A64,1)+1,"")</f>
        <v>1</v>
      </c>
      <c r="B65" s="172" t="str">
        <f>'EC1 - CC'!$C9</f>
        <v>Centre</v>
      </c>
      <c r="C65" s="120" t="str">
        <f t="shared" ref="C65:H65" si="2">OK</f>
        <v>OUI</v>
      </c>
      <c r="D65" s="122" t="str">
        <f t="shared" si="2"/>
        <v>OUI</v>
      </c>
      <c r="E65" s="122" t="str">
        <f t="shared" si="2"/>
        <v>OUI</v>
      </c>
      <c r="F65" s="122" t="str">
        <f t="shared" si="2"/>
        <v>OUI</v>
      </c>
      <c r="G65" s="122" t="str">
        <f t="shared" si="2"/>
        <v>OUI</v>
      </c>
      <c r="H65" s="123" t="str">
        <f t="shared" si="2"/>
        <v>OUI</v>
      </c>
      <c r="I65" s="382" t="str">
        <f t="shared" ref="I65:I70" si="3">HLOOKUP($I$64,Zone_toit_exclusion,ROW()-ROW($I$63),FALSE)</f>
        <v>OUI</v>
      </c>
    </row>
    <row r="66" spans="1:9" x14ac:dyDescent="0.3">
      <c r="A66" t="str">
        <f>IF(I66="oui",LARGE($A$64:$A65,1)+1,"")</f>
        <v/>
      </c>
      <c r="B66" s="355" t="str">
        <f>'EC1 - CC'!$C10</f>
        <v>Rive</v>
      </c>
      <c r="C66" s="355" t="str">
        <f>IF(Larg_Champs_PV&gt;Dim_centre_long*1000,OK,NOK)</f>
        <v>NON</v>
      </c>
      <c r="D66" t="str">
        <f>IF(Larg_Champs_PV&gt;Dim_centre_long*1000,OK,NOK)</f>
        <v>NON</v>
      </c>
      <c r="E66" t="str">
        <f>IF(Larg_Champs_PV&gt;Dim_centre_long*1000,OK,NOK)</f>
        <v>NON</v>
      </c>
      <c r="F66" s="63" t="str">
        <f>OK</f>
        <v>OUI</v>
      </c>
      <c r="G66" t="str">
        <f>IF(Haut_Champs_PV&gt;toit_dim_e4*1000,OK,NOK)</f>
        <v>NON</v>
      </c>
      <c r="H66" s="184" t="str">
        <f>IF(Haut_Champs_PV&gt;toit_dim_e4*1000,OK,NOK)</f>
        <v>NON</v>
      </c>
      <c r="I66" s="383" t="str">
        <f t="shared" si="3"/>
        <v>NON</v>
      </c>
    </row>
    <row r="67" spans="1:9" x14ac:dyDescent="0.3">
      <c r="A67" t="str">
        <f>IF(I67="oui",LARGE($A$64:$A66,1)+1,"")</f>
        <v/>
      </c>
      <c r="B67" s="355" t="str">
        <f>'EC1 - CC'!$C11</f>
        <v>égout</v>
      </c>
      <c r="C67" s="355" t="str">
        <f>IF(Haut_Champs_PV&gt;Dim_centre_haut_MP*1000,OK,NOK)</f>
        <v>NON</v>
      </c>
      <c r="D67" s="63" t="str">
        <f>OK</f>
        <v>OUI</v>
      </c>
      <c r="E67" t="str">
        <f>IF(Haut_Champs_PV&gt;(Dim_centre_haut_MP+toit_dim_e10)*1000,OK,NOK)</f>
        <v>NON</v>
      </c>
      <c r="F67" t="str">
        <f>IF(Haut_Champs_PV&gt;Dim_centre_haut_MP*1000,OK,NOK)</f>
        <v>NON</v>
      </c>
      <c r="G67" t="str">
        <f>IF(AND(Haut_Champs_PV&gt;(toit_larg-toit_dim_e10)*1000,Larg_Champs_PV&gt;toit_dim_e4*1000),OK,NOK)</f>
        <v>NON</v>
      </c>
      <c r="H67" s="184" t="str">
        <f>IF(Larg_Champs_PV&gt;toit_dim_e4*1000,OK,NOK)</f>
        <v>OUI</v>
      </c>
      <c r="I67" s="383" t="str">
        <f t="shared" si="3"/>
        <v>NON</v>
      </c>
    </row>
    <row r="68" spans="1:9" x14ac:dyDescent="0.3">
      <c r="A68">
        <f>IF(I68="oui",LARGE($A$64:$A67,1)+1,"")</f>
        <v>2</v>
      </c>
      <c r="B68" s="355" t="str">
        <f>'EC1 - CC'!$C12</f>
        <v>Faitage</v>
      </c>
      <c r="C68" s="355" t="str">
        <f>IF(Haut_Champs_PV&gt;Dim_centre_haut_MP*1000,OK,NOK)</f>
        <v>NON</v>
      </c>
      <c r="D68" t="str">
        <f>IF(Haut_Champs_PV&gt;(Dim_centre_haut_MP+toit_dim_e10)*1000,OK,NOK)</f>
        <v>NON</v>
      </c>
      <c r="E68" s="63" t="str">
        <f>OK</f>
        <v>OUI</v>
      </c>
      <c r="F68" t="str">
        <f>IF(Haut_Champs_PV&gt;Dim_centre_haut_MP*1000,OK,NOK)</f>
        <v>NON</v>
      </c>
      <c r="G68" t="str">
        <f>IF(Larg_Champs_PV&gt;toit_dim_e4*1000,OK,NOK)</f>
        <v>OUI</v>
      </c>
      <c r="H68" s="184" t="str">
        <f>IF(AND(Haut_Champs_PV&gt;(toit_larg-toit_dim_e10)*1000,Larg_Champs_PV&gt;toit_dim_e4*1000),OK,NOK)</f>
        <v>NON</v>
      </c>
      <c r="I68" s="383" t="str">
        <f t="shared" si="3"/>
        <v>OUI</v>
      </c>
    </row>
    <row r="69" spans="1:9" x14ac:dyDescent="0.3">
      <c r="A69" t="str">
        <f>IF(I69="oui",LARGE($A$64:$A68,1)+1,"")</f>
        <v/>
      </c>
      <c r="B69" s="355" t="str">
        <f>'EC1 - CC'!$C13</f>
        <v>Angle inf.</v>
      </c>
      <c r="C69" s="355" t="str">
        <f>IF(OR(AND(Haut_Champs_PV&gt;Dim_centre_haut_MP*1000,Larg_Champs_PV&gt;dim_egout_long*1000),AND(Larg_Champs_PV&gt;Dim_centre_long*1000,Haut_Champs_PV&gt;(toit_larg-2*toit_dim_e4)*1000)),OK,NOK)</f>
        <v>NON</v>
      </c>
      <c r="D69" t="str">
        <f>IF(Larg_Champs_PV&gt;dim_egout_long*1000,OK,NOK)</f>
        <v>NON</v>
      </c>
      <c r="E69" t="str">
        <f>IF(OR(AND(Haut_Champs_PV&gt;(Dim_centre_haut_MP+toit_dim_e10)*1000,Larg_Champs_PV&gt;dim_egout_long*1000),AND(Larg_Champs_PV&gt;Dim_centre_long*1000,Haut_Champs_PV&gt;(toit_larg-toit_dim_e4)*1000)),OK,NOK)</f>
        <v>NON</v>
      </c>
      <c r="F69" t="str">
        <f>IF(Haut_Champs_PV&gt;(toit_larg-2*toit_dim_e4)*1000,OK,NOK)</f>
        <v>OUI</v>
      </c>
      <c r="G69" t="str">
        <f>IF(Haut_Champs_PV&gt;(toit_larg-toit_dim_e4)*1000,OK,NOK)</f>
        <v>OUI</v>
      </c>
      <c r="H69" s="126" t="str">
        <f>OK</f>
        <v>OUI</v>
      </c>
      <c r="I69" s="383" t="str">
        <f t="shared" si="3"/>
        <v>NON</v>
      </c>
    </row>
    <row r="70" spans="1:9" x14ac:dyDescent="0.3">
      <c r="A70" t="str">
        <f>IF(I70="oui",LARGE($A$64:$A69,1)+1,"")</f>
        <v/>
      </c>
      <c r="B70" s="380" t="str">
        <f>'EC1 - CC'!$C14</f>
        <v>Angles Sup.</v>
      </c>
      <c r="C70" s="380" t="str">
        <f>IF(OR(AND(Haut_Champs_PV&gt;Dim_centre_haut_MP*1000,Larg_Champs_PV&gt;dim_egout_long*1000),AND(Larg_Champs_PV&gt;Dim_centre_long*1000,Haut_Champs_PV&gt;(toit_larg-2*toit_dim_e4)*1000)),OK,NOK)</f>
        <v>NON</v>
      </c>
      <c r="D70" s="109" t="str">
        <f>IF(OR(AND(Haut_Champs_PV&gt;(Dim_centre_haut_MP+toit_dim_e10)*1000,Larg_Champs_PV&gt;dim_egout_long*1000),AND(Larg_Champs_PV&gt;Dim_centre_long*1000,Haut_Champs_PV&gt;(toit_larg-toit_dim_e4)*1000)),OK,NOK)</f>
        <v>NON</v>
      </c>
      <c r="E70" s="109" t="str">
        <f>IF(Larg_Champs_PV&gt;dim_egout_long*1000,OK,NOK)</f>
        <v>NON</v>
      </c>
      <c r="F70" s="109" t="str">
        <f>IF(Haut_Champs_PV&gt;(toit_larg-2*toit_dim_e4)*1000,OK,NOK)</f>
        <v>OUI</v>
      </c>
      <c r="G70" s="129" t="str">
        <f>OK</f>
        <v>OUI</v>
      </c>
      <c r="H70" s="381" t="str">
        <f>IF(Haut_Champs_PV&gt;(toit_larg-toit_dim_e4)*1000,OK,NOK)</f>
        <v>OUI</v>
      </c>
      <c r="I70" s="384" t="str">
        <f t="shared" si="3"/>
        <v>NON</v>
      </c>
    </row>
    <row r="71" spans="1:9" x14ac:dyDescent="0.3">
      <c r="A71">
        <v>0</v>
      </c>
      <c r="B71" s="385"/>
      <c r="C71" s="385"/>
      <c r="D71" s="386"/>
      <c r="E71" s="386"/>
      <c r="F71" s="386"/>
      <c r="G71" s="386"/>
      <c r="H71" s="387"/>
      <c r="I71" s="388"/>
    </row>
    <row r="72" spans="1:9" x14ac:dyDescent="0.3">
      <c r="A72">
        <f>IF(I72="oui",LARGE($A$71:$A71,1)+1,"")</f>
        <v>1</v>
      </c>
      <c r="B72" s="355" t="str">
        <f>'EC1 - CC'!$L9</f>
        <v>Centre</v>
      </c>
      <c r="C72" s="124" t="str">
        <f t="shared" ref="C72:H72" si="4">OK</f>
        <v>OUI</v>
      </c>
      <c r="D72" s="63" t="str">
        <f t="shared" si="4"/>
        <v>OUI</v>
      </c>
      <c r="E72" s="63" t="str">
        <f t="shared" si="4"/>
        <v>OUI</v>
      </c>
      <c r="F72" s="63" t="str">
        <f t="shared" si="4"/>
        <v>OUI</v>
      </c>
      <c r="G72" s="63" t="str">
        <f t="shared" si="4"/>
        <v>OUI</v>
      </c>
      <c r="H72" s="126" t="str">
        <f t="shared" si="4"/>
        <v>OUI</v>
      </c>
      <c r="I72" s="383" t="str">
        <f>HLOOKUP($I$64,Zone_toit_exclusion,ROW()-ROW($I$63),FALSE)</f>
        <v>OUI</v>
      </c>
    </row>
    <row r="73" spans="1:9" x14ac:dyDescent="0.3">
      <c r="A73" t="str">
        <f>IF(I73="oui",LARGE($A$71:$A72,1)+1,"")</f>
        <v/>
      </c>
      <c r="B73" s="355" t="str">
        <f>'EC1 - CC'!$L10</f>
        <v>Rive</v>
      </c>
      <c r="C73" s="355" t="str">
        <f>IF(Larg_Champs_PV&gt;Dim_centre_long*1000,OK,NOK)</f>
        <v>NON</v>
      </c>
      <c r="D73" t="str">
        <f>IF(Larg_Champs_PV&gt;Dim_centre_long*1000,OK,NOK)</f>
        <v>NON</v>
      </c>
      <c r="E73" t="str">
        <f>IF(Larg_Champs_PV&gt;Dim_centre_long*1000,OK,NOK)</f>
        <v>NON</v>
      </c>
      <c r="F73" s="63" t="str">
        <f>OK</f>
        <v>OUI</v>
      </c>
      <c r="G73" s="63" t="str">
        <f>OK</f>
        <v>OUI</v>
      </c>
      <c r="H73" s="184" t="str">
        <f>IF(Haut_Champs_PV&gt;toit_dim_e4*1000,OK,NOK)</f>
        <v>NON</v>
      </c>
      <c r="I73" s="383" t="str">
        <f>HLOOKUP($I$64,Zone_toit_exclusion,ROW()-ROW($I$63),FALSE)</f>
        <v>NON</v>
      </c>
    </row>
    <row r="74" spans="1:9" x14ac:dyDescent="0.3">
      <c r="A74" t="str">
        <f>IF(I74="oui",LARGE($A$71:$A73,1)+1,"")</f>
        <v/>
      </c>
      <c r="B74" s="355" t="str">
        <f>'EC1 - CC'!$L11</f>
        <v>Egout</v>
      </c>
      <c r="C74" s="355" t="str">
        <f>IF(Haut_Champs_PV&gt;(Dim_centre_haut_BP-toit_dim_e10)*1000,OK,NOK)</f>
        <v>NON</v>
      </c>
      <c r="D74" s="63" t="str">
        <f>OK</f>
        <v>OUI</v>
      </c>
      <c r="E74" t="str">
        <f>IF(Haut_Champs_PV&gt;Dim_centre_haut_BP*1000,OK,NOK)</f>
        <v>NON</v>
      </c>
      <c r="F74" t="str">
        <f>IF(Haut_Champs_PV&gt;(Dim_centre_haut_BP-toit_dim_e10)*1000,OK,NOK)</f>
        <v>NON</v>
      </c>
      <c r="G74" t="str">
        <f>IF(Haut_Champs_PV&gt;Dim_centre_haut_BP*1000,OK,NOK)</f>
        <v>NON</v>
      </c>
      <c r="H74" s="184" t="str">
        <f>IF(Larg_Champs_PV&gt;toit_dim_e4*1000,OK,NOK)</f>
        <v>OUI</v>
      </c>
      <c r="I74" s="383" t="str">
        <f>HLOOKUP($I$64,Zone_toit_exclusion,ROW()-ROW($I$63),FALSE)</f>
        <v>NON</v>
      </c>
    </row>
    <row r="75" spans="1:9" x14ac:dyDescent="0.3">
      <c r="A75" t="str">
        <f>IF(I75="oui",LARGE($A$71:$A74,1)+1,"")</f>
        <v/>
      </c>
      <c r="B75" s="380" t="str">
        <f>'EC1 - CC'!$L12</f>
        <v>Angle inf.</v>
      </c>
      <c r="C75" s="380" t="str">
        <f>IF(OR(AND(Haut_Champs_PV&gt;(Dim_centre_haut_BP-toit_dim_e10)*1000,Larg_Champs_PV&gt;dim_egout_long*1000),AND(Larg_Champs_PV&gt;Dim_centre_long*1000,Haut_Champs_PV&gt;(toit_larg-2*toit_dim_e4)*1000)),OK,NOK)</f>
        <v>NON</v>
      </c>
      <c r="D75" s="109" t="str">
        <f>IF(Larg_Champs_PV&gt;dim_egout_long*1000,OK,NOK)</f>
        <v>NON</v>
      </c>
      <c r="E75" s="109" t="str">
        <f>IF(OR(AND(Haut_Champs_PV&gt;Dim_centre_haut_BP*1000,Larg_Champs_PV&gt;dim_egout_long*1000),AND(Larg_Champs_PV&gt;Dim_centre_long*1000,Haut_Champs_PV&gt;(toit_larg-toit_dim_e4)*1000)),OK,NOK)</f>
        <v>NON</v>
      </c>
      <c r="F75" s="109" t="str">
        <f>IF(Haut_Champs_PV&gt;(toit_larg-2*toit_dim_e4)*1000,OK,NOK)</f>
        <v>OUI</v>
      </c>
      <c r="G75" s="109" t="str">
        <f>IF(Haut_Champs_PV&gt;(toit_larg-toit_dim_e4)*1000,OK,NOK)</f>
        <v>OUI</v>
      </c>
      <c r="H75" s="130" t="str">
        <f>OK</f>
        <v>OUI</v>
      </c>
      <c r="I75" s="384" t="str">
        <f>HLOOKUP($I$64,Zone_toit_exclusion,ROW()-ROW($I$63),FALSE)</f>
        <v>NON</v>
      </c>
    </row>
  </sheetData>
  <sheetProtection selectLockedCells="1"/>
  <conditionalFormatting sqref="C59:E59 G59 F59:F60">
    <cfRule type="cellIs" dxfId="4" priority="1" operator="greaterThan">
      <formula>PaF_max</formula>
    </cfRule>
  </conditionalFormatting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DB48-70B6-44E2-ACAD-786314DECFE6}">
  <dimension ref="A1:T29"/>
  <sheetViews>
    <sheetView topLeftCell="A6" zoomScale="70" zoomScaleNormal="70" workbookViewId="0">
      <selection activeCell="E5" sqref="E5"/>
    </sheetView>
  </sheetViews>
  <sheetFormatPr baseColWidth="10" defaultColWidth="11.5546875" defaultRowHeight="14.4" x14ac:dyDescent="0.3"/>
  <cols>
    <col min="4" max="4" width="11.5546875" style="15"/>
    <col min="6" max="6" width="15" bestFit="1" customWidth="1"/>
    <col min="7" max="8" width="11.5546875" style="25"/>
    <col min="9" max="9" width="43.5546875" bestFit="1" customWidth="1"/>
    <col min="10" max="10" width="15.6640625" bestFit="1" customWidth="1"/>
    <col min="11" max="11" width="11.21875" bestFit="1" customWidth="1"/>
    <col min="12" max="12" width="15.77734375" bestFit="1" customWidth="1"/>
    <col min="13" max="13" width="8.33203125" bestFit="1" customWidth="1"/>
    <col min="14" max="14" width="10.6640625" bestFit="1" customWidth="1"/>
    <col min="15" max="15" width="12.109375" bestFit="1" customWidth="1"/>
  </cols>
  <sheetData>
    <row r="1" spans="1:20" ht="18" x14ac:dyDescent="0.35">
      <c r="B1" s="49" t="s">
        <v>14</v>
      </c>
      <c r="C1" s="49"/>
      <c r="D1" s="101"/>
      <c r="E1" s="49"/>
      <c r="F1" s="49"/>
      <c r="K1" s="20" t="str">
        <f>'Config type'!C2</f>
        <v>Tuile méca</v>
      </c>
      <c r="L1" s="113" t="str">
        <f>'Config type'!D2</f>
        <v>Tuile méca TMH</v>
      </c>
      <c r="M1" s="113" t="str">
        <f>'Config type'!E2</f>
        <v>Ardoise</v>
      </c>
      <c r="N1" s="113" t="str">
        <f>'Config type'!F2</f>
        <v>Tuile plate</v>
      </c>
      <c r="O1" s="116" t="str">
        <f>'Config type'!G2</f>
        <v>Fibrociment</v>
      </c>
      <c r="S1" t="s">
        <v>194</v>
      </c>
    </row>
    <row r="2" spans="1:20" ht="15.6" customHeight="1" x14ac:dyDescent="0.3">
      <c r="A2">
        <v>0</v>
      </c>
      <c r="C2" s="120" t="s">
        <v>111</v>
      </c>
      <c r="D2" s="121" t="s">
        <v>113</v>
      </c>
      <c r="E2" s="122" t="s">
        <v>115</v>
      </c>
      <c r="F2" s="123" t="s">
        <v>112</v>
      </c>
      <c r="G2" s="112" t="s">
        <v>15</v>
      </c>
      <c r="H2" s="51"/>
      <c r="I2" s="113" t="s">
        <v>13</v>
      </c>
      <c r="J2" s="113"/>
      <c r="K2" s="117"/>
      <c r="L2" s="114"/>
      <c r="M2" s="114"/>
      <c r="N2" s="114"/>
      <c r="O2" s="115"/>
      <c r="P2" s="172" t="s">
        <v>130</v>
      </c>
      <c r="Q2" s="116" t="s">
        <v>16</v>
      </c>
      <c r="S2" t="s">
        <v>195</v>
      </c>
      <c r="T2" t="s">
        <v>196</v>
      </c>
    </row>
    <row r="3" spans="1:20" ht="46.2" customHeight="1" x14ac:dyDescent="0.3">
      <c r="A3" s="105" t="str">
        <f>IF(HLOOKUP(choix_couv,$K$1:$O$24,ROW(),FALSE)="x",LARGE($A$2:$A2,1)+1,"")</f>
        <v/>
      </c>
      <c r="B3" s="457" t="s">
        <v>131</v>
      </c>
      <c r="C3" s="189" t="s">
        <v>78</v>
      </c>
      <c r="D3" s="125">
        <f>Données!C5</f>
        <v>1.2</v>
      </c>
      <c r="E3" s="55" t="str">
        <f>Données!$D$4</f>
        <v>Alu</v>
      </c>
      <c r="F3" s="191" t="str">
        <f t="shared" ref="F3:F8" si="0">_xlfn.CONCAT(C3:E3)</f>
        <v>Rail1,2Alu</v>
      </c>
      <c r="G3" s="192"/>
      <c r="H3" s="155"/>
      <c r="I3" s="56" t="s">
        <v>396</v>
      </c>
      <c r="J3">
        <f t="shared" ref="J3:J8" si="1">Nb_rail+Nb_Rail_crois</f>
        <v>24</v>
      </c>
      <c r="K3" s="118" t="str">
        <f t="shared" ref="K3:O8" si="2">IF($F3=$E$27,"x","")</f>
        <v/>
      </c>
      <c r="L3" s="105" t="str">
        <f t="shared" si="2"/>
        <v/>
      </c>
      <c r="M3" s="105" t="str">
        <f t="shared" si="2"/>
        <v/>
      </c>
      <c r="N3" s="105" t="str">
        <f t="shared" si="2"/>
        <v/>
      </c>
      <c r="O3" s="106" t="str">
        <f t="shared" si="2"/>
        <v/>
      </c>
      <c r="P3" s="173"/>
      <c r="Q3" s="174">
        <v>15</v>
      </c>
      <c r="S3">
        <v>2232.5</v>
      </c>
      <c r="T3">
        <v>2232.5</v>
      </c>
    </row>
    <row r="4" spans="1:20" ht="46.2" customHeight="1" x14ac:dyDescent="0.3">
      <c r="A4" s="105">
        <f>IF(HLOOKUP(choix_couv,$K$1:$O$24,ROW(),FALSE)="x",LARGE($A$2:$A3,1)+1,"")</f>
        <v>1</v>
      </c>
      <c r="B4" s="458"/>
      <c r="C4" s="189" t="s">
        <v>78</v>
      </c>
      <c r="D4" s="125">
        <f>Données!D5</f>
        <v>2.4</v>
      </c>
      <c r="E4" s="55" t="str">
        <f>Données!$D$4</f>
        <v>Alu</v>
      </c>
      <c r="F4" s="191" t="str">
        <f t="shared" si="0"/>
        <v>Rail2,4Alu</v>
      </c>
      <c r="G4" s="192" t="s">
        <v>150</v>
      </c>
      <c r="H4" s="155"/>
      <c r="I4" s="56" t="s">
        <v>116</v>
      </c>
      <c r="J4">
        <f t="shared" si="1"/>
        <v>24</v>
      </c>
      <c r="K4" s="118" t="str">
        <f t="shared" si="2"/>
        <v>x</v>
      </c>
      <c r="L4" s="105" t="str">
        <f t="shared" si="2"/>
        <v>x</v>
      </c>
      <c r="M4" s="105" t="str">
        <f t="shared" si="2"/>
        <v>x</v>
      </c>
      <c r="N4" s="105" t="str">
        <f t="shared" si="2"/>
        <v>x</v>
      </c>
      <c r="O4" s="106" t="str">
        <f t="shared" si="2"/>
        <v>x</v>
      </c>
      <c r="P4" s="175"/>
      <c r="Q4" s="167">
        <v>15</v>
      </c>
      <c r="S4">
        <v>2232.5</v>
      </c>
      <c r="T4">
        <v>2232.5</v>
      </c>
    </row>
    <row r="5" spans="1:20" ht="46.2" customHeight="1" x14ac:dyDescent="0.3">
      <c r="A5" s="105" t="str">
        <f>IF(HLOOKUP(choix_couv,$K$1:$O$24,ROW(),FALSE)="x",LARGE($A$2:$A4,1)+1,"")</f>
        <v/>
      </c>
      <c r="B5" s="458"/>
      <c r="C5" s="189" t="s">
        <v>78</v>
      </c>
      <c r="D5" s="125">
        <f>Données!E5</f>
        <v>3.5</v>
      </c>
      <c r="E5" s="55" t="str">
        <f>Données!$D$4</f>
        <v>Alu</v>
      </c>
      <c r="F5" s="191" t="str">
        <f t="shared" si="0"/>
        <v>Rail3,5Alu</v>
      </c>
      <c r="G5" s="192" t="s">
        <v>179</v>
      </c>
      <c r="H5" s="155"/>
      <c r="I5" s="56" t="s">
        <v>117</v>
      </c>
      <c r="J5">
        <f t="shared" si="1"/>
        <v>24</v>
      </c>
      <c r="K5" s="118" t="str">
        <f t="shared" si="2"/>
        <v/>
      </c>
      <c r="L5" s="105" t="str">
        <f t="shared" si="2"/>
        <v/>
      </c>
      <c r="M5" s="105" t="str">
        <f t="shared" si="2"/>
        <v/>
      </c>
      <c r="N5" s="105" t="str">
        <f t="shared" si="2"/>
        <v/>
      </c>
      <c r="O5" s="106" t="str">
        <f t="shared" si="2"/>
        <v/>
      </c>
      <c r="P5" s="175"/>
      <c r="Q5" s="167">
        <v>15</v>
      </c>
      <c r="S5">
        <v>2232.5</v>
      </c>
      <c r="T5">
        <v>2232.5</v>
      </c>
    </row>
    <row r="6" spans="1:20" ht="44.4" customHeight="1" x14ac:dyDescent="0.3">
      <c r="A6" s="105" t="str">
        <f>IF(HLOOKUP(choix_couv,$K$1:$O$24,ROW(),FALSE)="x",LARGE($A$2:$A5,1)+1,"")</f>
        <v/>
      </c>
      <c r="B6" s="458"/>
      <c r="C6" s="189" t="s">
        <v>78</v>
      </c>
      <c r="D6" s="125">
        <f>Données!C5</f>
        <v>1.2</v>
      </c>
      <c r="E6" s="55" t="str">
        <f>Données!$C$4</f>
        <v>Black</v>
      </c>
      <c r="F6" s="191" t="str">
        <f t="shared" si="0"/>
        <v>Rail1,2Black</v>
      </c>
      <c r="G6" s="192"/>
      <c r="H6" s="155"/>
      <c r="I6" s="56" t="s">
        <v>397</v>
      </c>
      <c r="J6">
        <f t="shared" si="1"/>
        <v>24</v>
      </c>
      <c r="K6" s="118" t="str">
        <f t="shared" si="2"/>
        <v/>
      </c>
      <c r="L6" s="105" t="str">
        <f t="shared" si="2"/>
        <v/>
      </c>
      <c r="M6" s="105" t="str">
        <f t="shared" si="2"/>
        <v/>
      </c>
      <c r="N6" s="105" t="str">
        <f t="shared" si="2"/>
        <v/>
      </c>
      <c r="O6" s="106" t="str">
        <f t="shared" si="2"/>
        <v/>
      </c>
      <c r="P6" s="175"/>
      <c r="Q6" s="167">
        <v>15</v>
      </c>
      <c r="S6">
        <v>2232.5</v>
      </c>
      <c r="T6">
        <v>2232.5</v>
      </c>
    </row>
    <row r="7" spans="1:20" ht="46.2" customHeight="1" x14ac:dyDescent="0.3">
      <c r="A7" s="105" t="str">
        <f>IF(HLOOKUP(choix_couv,$K$1:$O$24,ROW(),FALSE)="x",LARGE($A$2:$A6,1)+1,"")</f>
        <v/>
      </c>
      <c r="B7" s="458"/>
      <c r="C7" s="189" t="s">
        <v>78</v>
      </c>
      <c r="D7" s="125">
        <f>Données!D5</f>
        <v>2.4</v>
      </c>
      <c r="E7" s="55" t="str">
        <f>Données!$C$4</f>
        <v>Black</v>
      </c>
      <c r="F7" s="191" t="str">
        <f t="shared" si="0"/>
        <v>Rail2,4Black</v>
      </c>
      <c r="G7" s="192" t="s">
        <v>178</v>
      </c>
      <c r="H7" s="155" t="s">
        <v>135</v>
      </c>
      <c r="I7" s="56" t="s">
        <v>110</v>
      </c>
      <c r="J7">
        <f t="shared" si="1"/>
        <v>24</v>
      </c>
      <c r="K7" s="118" t="str">
        <f t="shared" si="2"/>
        <v/>
      </c>
      <c r="L7" s="105" t="str">
        <f t="shared" si="2"/>
        <v/>
      </c>
      <c r="M7" s="105" t="str">
        <f t="shared" si="2"/>
        <v/>
      </c>
      <c r="N7" s="105" t="str">
        <f t="shared" si="2"/>
        <v/>
      </c>
      <c r="O7" s="106" t="str">
        <f t="shared" si="2"/>
        <v/>
      </c>
      <c r="P7" s="175"/>
      <c r="Q7" s="167">
        <v>15</v>
      </c>
      <c r="S7">
        <v>2232.5</v>
      </c>
      <c r="T7">
        <v>2232.5</v>
      </c>
    </row>
    <row r="8" spans="1:20" ht="46.2" customHeight="1" x14ac:dyDescent="0.3">
      <c r="A8" s="105" t="str">
        <f>IF(HLOOKUP(choix_couv,$K$1:$O$24,ROW(),FALSE)="x",LARGE($A$2:$A7,1)+1,"")</f>
        <v/>
      </c>
      <c r="B8" s="458"/>
      <c r="C8" s="189" t="s">
        <v>78</v>
      </c>
      <c r="D8" s="125">
        <f>Données!E5</f>
        <v>3.5</v>
      </c>
      <c r="E8" s="55" t="str">
        <f>Données!$C$4</f>
        <v>Black</v>
      </c>
      <c r="F8" s="191" t="str">
        <f t="shared" si="0"/>
        <v>Rail3,5Black</v>
      </c>
      <c r="G8" s="193" t="s">
        <v>100</v>
      </c>
      <c r="H8" s="155"/>
      <c r="I8" s="194" t="s">
        <v>99</v>
      </c>
      <c r="J8" s="138">
        <f t="shared" si="1"/>
        <v>24</v>
      </c>
      <c r="K8" s="133" t="str">
        <f t="shared" si="2"/>
        <v/>
      </c>
      <c r="L8" s="134" t="str">
        <f t="shared" si="2"/>
        <v/>
      </c>
      <c r="M8" s="134" t="str">
        <f t="shared" si="2"/>
        <v/>
      </c>
      <c r="N8" s="134" t="str">
        <f t="shared" si="2"/>
        <v/>
      </c>
      <c r="O8" s="135" t="str">
        <f t="shared" si="2"/>
        <v/>
      </c>
      <c r="P8" s="175"/>
      <c r="Q8" s="167">
        <v>15</v>
      </c>
      <c r="S8">
        <v>2232.5</v>
      </c>
      <c r="T8">
        <v>2232.5</v>
      </c>
    </row>
    <row r="9" spans="1:20" ht="46.2" customHeight="1" x14ac:dyDescent="0.3">
      <c r="A9" s="105">
        <f>IF(HLOOKUP(choix_couv,$K$1:$O$24,ROW(),FALSE)="x",LARGE($A$2:$A8,1)+1,"")</f>
        <v>2</v>
      </c>
      <c r="B9" s="458"/>
      <c r="C9" s="189" t="s">
        <v>114</v>
      </c>
      <c r="D9" s="125"/>
      <c r="E9" s="55"/>
      <c r="F9" s="191" t="str">
        <f t="shared" ref="F9:F24" si="3">_xlfn.CONCAT(C9:E9)</f>
        <v>raccord</v>
      </c>
      <c r="G9" s="192" t="s">
        <v>108</v>
      </c>
      <c r="H9" s="155"/>
      <c r="I9" s="56" t="s">
        <v>107</v>
      </c>
      <c r="J9">
        <f>Nb_racc+Nb_racc_crois</f>
        <v>18</v>
      </c>
      <c r="K9" s="118" t="s">
        <v>23</v>
      </c>
      <c r="L9" s="105" t="s">
        <v>23</v>
      </c>
      <c r="M9" s="105" t="s">
        <v>23</v>
      </c>
      <c r="N9" s="105" t="s">
        <v>23</v>
      </c>
      <c r="O9" s="106" t="s">
        <v>23</v>
      </c>
      <c r="P9" s="175"/>
      <c r="Q9" s="167">
        <v>4</v>
      </c>
    </row>
    <row r="10" spans="1:20" ht="46.2" customHeight="1" x14ac:dyDescent="0.3">
      <c r="A10" s="105" t="str">
        <f>IF(HLOOKUP(choix_couv,$K$1:$O$24,ROW(),FALSE)="x",LARGE($A$2:$A9,1)+1,"")</f>
        <v/>
      </c>
      <c r="B10" s="458"/>
      <c r="C10" s="189" t="s">
        <v>134</v>
      </c>
      <c r="D10" s="125"/>
      <c r="E10" s="55" t="str">
        <f>Données!$C$4</f>
        <v>Black</v>
      </c>
      <c r="F10" s="191" t="str">
        <f t="shared" si="3"/>
        <v>BouchonBlack</v>
      </c>
      <c r="G10" s="192">
        <v>380078</v>
      </c>
      <c r="H10" s="155"/>
      <c r="I10" s="56" t="s">
        <v>105</v>
      </c>
      <c r="J10" s="70">
        <f>2*(Nb_rail/rail_ligne+mult_rail_crois*choix_brid)</f>
        <v>12</v>
      </c>
      <c r="K10" s="133" t="str">
        <f t="shared" ref="K10:O11" si="4">IF($F10=$E$28,"x","")</f>
        <v/>
      </c>
      <c r="L10" s="105" t="str">
        <f t="shared" si="4"/>
        <v/>
      </c>
      <c r="M10" s="105" t="str">
        <f t="shared" si="4"/>
        <v/>
      </c>
      <c r="N10" s="105" t="str">
        <f t="shared" si="4"/>
        <v/>
      </c>
      <c r="O10" s="106" t="str">
        <f t="shared" si="4"/>
        <v/>
      </c>
      <c r="P10" s="175"/>
      <c r="Q10" s="167">
        <v>1</v>
      </c>
    </row>
    <row r="11" spans="1:20" ht="46.2" customHeight="1" x14ac:dyDescent="0.3">
      <c r="A11" s="105">
        <f>IF(HLOOKUP(choix_couv,$K$1:$O$24,ROW(),FALSE)="x",LARGE($A$2:$A10,1)+1,"")</f>
        <v>3</v>
      </c>
      <c r="B11" s="458"/>
      <c r="C11" s="189" t="s">
        <v>134</v>
      </c>
      <c r="D11" s="125"/>
      <c r="E11" s="55" t="str">
        <f>Données!$D$4</f>
        <v>Alu</v>
      </c>
      <c r="F11" s="191" t="str">
        <f t="shared" si="3"/>
        <v>BouchonAlu</v>
      </c>
      <c r="G11" s="192">
        <v>380074</v>
      </c>
      <c r="H11" s="155"/>
      <c r="I11" s="56" t="s">
        <v>124</v>
      </c>
      <c r="J11" s="70">
        <f>2*(Nb_rail/rail_ligne+mult_rail_crois*choix_brid)</f>
        <v>12</v>
      </c>
      <c r="K11" s="133" t="str">
        <f t="shared" si="4"/>
        <v>x</v>
      </c>
      <c r="L11" s="105" t="str">
        <f t="shared" si="4"/>
        <v>x</v>
      </c>
      <c r="M11" s="105" t="str">
        <f t="shared" si="4"/>
        <v>x</v>
      </c>
      <c r="N11" s="105" t="str">
        <f t="shared" si="4"/>
        <v>x</v>
      </c>
      <c r="O11" s="106" t="str">
        <f t="shared" si="4"/>
        <v>x</v>
      </c>
      <c r="P11" s="175"/>
      <c r="Q11" s="167">
        <v>1</v>
      </c>
    </row>
    <row r="12" spans="1:20" ht="46.2" customHeight="1" x14ac:dyDescent="0.3">
      <c r="A12" s="105" t="str">
        <f>IF(HLOOKUP(choix_couv,$K$1:$O$24,ROW(),FALSE)="x",LARGE($A$2:$A11,1)+1,"")</f>
        <v/>
      </c>
      <c r="B12" s="459"/>
      <c r="C12" s="190"/>
      <c r="D12" s="128"/>
      <c r="E12" s="195"/>
      <c r="F12" s="191" t="str">
        <f t="shared" si="3"/>
        <v/>
      </c>
      <c r="G12" s="196">
        <v>380081</v>
      </c>
      <c r="H12" s="155"/>
      <c r="I12" s="197" t="s">
        <v>127</v>
      </c>
      <c r="J12" s="109">
        <f>Nb_conn_crois</f>
        <v>0</v>
      </c>
      <c r="K12" s="119" t="str">
        <f>IF(Choix_calep=Données!$H$6,"x","")</f>
        <v/>
      </c>
      <c r="L12" s="110" t="str">
        <f>IF(Choix_calep=Données!$H$6,"x","")</f>
        <v/>
      </c>
      <c r="M12" s="110" t="str">
        <f>IF(Choix_calep=Données!$H$6,"x","")</f>
        <v/>
      </c>
      <c r="N12" s="110" t="str">
        <f>IF(Choix_calep=Données!$H$6,"x","")</f>
        <v/>
      </c>
      <c r="O12" s="111" t="str">
        <f>IF(Choix_calep=Données!$H$6,"x","")</f>
        <v/>
      </c>
      <c r="P12" s="176"/>
      <c r="Q12" s="177">
        <v>3</v>
      </c>
    </row>
    <row r="13" spans="1:20" ht="46.2" customHeight="1" x14ac:dyDescent="0.3">
      <c r="A13" s="105">
        <f>IF(HLOOKUP(choix_couv,$K$1:$O$24,ROW(),FALSE)="x",LARGE($A$2:$A12,1)+1,"")</f>
        <v>4</v>
      </c>
      <c r="B13" s="455" t="s">
        <v>132</v>
      </c>
      <c r="C13" s="120" t="s">
        <v>120</v>
      </c>
      <c r="D13" s="121"/>
      <c r="E13" s="63" t="str">
        <f>Données!$D$4</f>
        <v>Alu</v>
      </c>
      <c r="F13" s="123" t="str">
        <f t="shared" si="3"/>
        <v>BrideAlu</v>
      </c>
      <c r="G13" s="131" t="s">
        <v>122</v>
      </c>
      <c r="I13" s="139" t="s">
        <v>118</v>
      </c>
      <c r="J13" s="139">
        <f>Nb_bride_exter</f>
        <v>12</v>
      </c>
      <c r="K13" s="133" t="str">
        <f t="shared" ref="K13:O16" si="5">IF($F13=$E$29,"x","")</f>
        <v>x</v>
      </c>
      <c r="L13" s="103" t="str">
        <f t="shared" si="5"/>
        <v>x</v>
      </c>
      <c r="M13" s="103" t="str">
        <f t="shared" si="5"/>
        <v>x</v>
      </c>
      <c r="N13" s="103" t="str">
        <f t="shared" si="5"/>
        <v>x</v>
      </c>
      <c r="O13" s="104" t="str">
        <f t="shared" si="5"/>
        <v>x</v>
      </c>
      <c r="P13" s="175"/>
      <c r="Q13" s="167">
        <v>2</v>
      </c>
      <c r="S13">
        <v>3101.5</v>
      </c>
    </row>
    <row r="14" spans="1:20" ht="46.2" customHeight="1" x14ac:dyDescent="0.3">
      <c r="A14" s="105">
        <f>IF(HLOOKUP(choix_couv,$K$1:$O$24,ROW(),FALSE)="x",LARGE($A$2:$A13,1)+1,"")</f>
        <v>5</v>
      </c>
      <c r="B14" s="455"/>
      <c r="C14" s="124" t="s">
        <v>120</v>
      </c>
      <c r="D14" s="125"/>
      <c r="E14" s="63" t="str">
        <f>Données!$D$4</f>
        <v>Alu</v>
      </c>
      <c r="F14" s="126" t="str">
        <f t="shared" si="3"/>
        <v>BrideAlu</v>
      </c>
      <c r="G14" s="107" t="s">
        <v>123</v>
      </c>
      <c r="I14" t="s">
        <v>119</v>
      </c>
      <c r="J14">
        <f>Nb_bride_inter</f>
        <v>36</v>
      </c>
      <c r="K14" s="118" t="str">
        <f t="shared" si="5"/>
        <v>x</v>
      </c>
      <c r="L14" s="105" t="str">
        <f t="shared" si="5"/>
        <v>x</v>
      </c>
      <c r="M14" s="105" t="str">
        <f t="shared" si="5"/>
        <v>x</v>
      </c>
      <c r="N14" s="105" t="str">
        <f t="shared" si="5"/>
        <v>x</v>
      </c>
      <c r="O14" s="106" t="str">
        <f t="shared" si="5"/>
        <v>x</v>
      </c>
      <c r="P14" s="175"/>
      <c r="Q14" s="167">
        <v>2</v>
      </c>
      <c r="S14">
        <v>3582</v>
      </c>
    </row>
    <row r="15" spans="1:20" ht="46.2" customHeight="1" x14ac:dyDescent="0.3">
      <c r="A15" s="105" t="str">
        <f>IF(HLOOKUP(choix_couv,$K$1:$O$24,ROW(),FALSE)="x",LARGE($A$2:$A14,1)+1,"")</f>
        <v/>
      </c>
      <c r="B15" s="455"/>
      <c r="C15" s="124" t="s">
        <v>120</v>
      </c>
      <c r="D15" s="125"/>
      <c r="E15" s="63" t="str">
        <f>Données!$C$4</f>
        <v>Black</v>
      </c>
      <c r="F15" s="126" t="str">
        <f t="shared" si="3"/>
        <v>BrideBlack</v>
      </c>
      <c r="G15" s="107" t="s">
        <v>183</v>
      </c>
      <c r="I15" t="s">
        <v>102</v>
      </c>
      <c r="J15">
        <f>Nb_bride_exter</f>
        <v>12</v>
      </c>
      <c r="K15" s="118" t="str">
        <f t="shared" si="5"/>
        <v/>
      </c>
      <c r="L15" s="105" t="str">
        <f t="shared" si="5"/>
        <v/>
      </c>
      <c r="M15" s="105" t="str">
        <f t="shared" si="5"/>
        <v/>
      </c>
      <c r="N15" s="105" t="str">
        <f t="shared" si="5"/>
        <v/>
      </c>
      <c r="O15" s="106" t="str">
        <f t="shared" si="5"/>
        <v/>
      </c>
      <c r="P15" s="175"/>
      <c r="Q15" s="167">
        <v>2</v>
      </c>
      <c r="S15">
        <v>3101.5</v>
      </c>
    </row>
    <row r="16" spans="1:20" ht="46.2" customHeight="1" x14ac:dyDescent="0.3">
      <c r="A16" s="105" t="str">
        <f>IF(HLOOKUP(choix_couv,$K$1:$O$24,ROW(),FALSE)="x",LARGE($A$2:$A15,1)+1,"")</f>
        <v/>
      </c>
      <c r="B16" s="455"/>
      <c r="C16" s="127" t="s">
        <v>120</v>
      </c>
      <c r="D16" s="128"/>
      <c r="E16" s="63" t="str">
        <f>Données!$C$4</f>
        <v>Black</v>
      </c>
      <c r="F16" s="130" t="str">
        <f t="shared" si="3"/>
        <v>BrideBlack</v>
      </c>
      <c r="G16" s="108" t="s">
        <v>184</v>
      </c>
      <c r="I16" s="109" t="s">
        <v>101</v>
      </c>
      <c r="J16" s="109">
        <f>Nb_bride_inter</f>
        <v>36</v>
      </c>
      <c r="K16" s="119" t="str">
        <f t="shared" si="5"/>
        <v/>
      </c>
      <c r="L16" s="110" t="str">
        <f t="shared" si="5"/>
        <v/>
      </c>
      <c r="M16" s="110" t="str">
        <f t="shared" si="5"/>
        <v/>
      </c>
      <c r="N16" s="110" t="str">
        <f t="shared" si="5"/>
        <v/>
      </c>
      <c r="O16" s="111" t="str">
        <f t="shared" si="5"/>
        <v/>
      </c>
      <c r="P16" s="175"/>
      <c r="Q16" s="167">
        <v>2</v>
      </c>
      <c r="S16">
        <v>3582</v>
      </c>
    </row>
    <row r="17" spans="1:20" ht="49.2" customHeight="1" x14ac:dyDescent="0.3">
      <c r="A17" s="105" t="str">
        <f>IF(HLOOKUP(choix_couv,$K$1:$O$24,ROW(),FALSE)="x",LARGE($A$2:$A16,1)+1,"")</f>
        <v/>
      </c>
      <c r="B17" s="456" t="s">
        <v>51</v>
      </c>
      <c r="C17" s="120" t="s">
        <v>121</v>
      </c>
      <c r="D17" s="121"/>
      <c r="E17" s="122"/>
      <c r="F17" s="123" t="str">
        <f t="shared" si="3"/>
        <v>Crochet</v>
      </c>
      <c r="G17" s="131" t="s">
        <v>180</v>
      </c>
      <c r="I17" t="s">
        <v>151</v>
      </c>
      <c r="J17" s="139">
        <f t="shared" ref="J17:J22" si="6">Nb_croch</f>
        <v>84</v>
      </c>
      <c r="K17" s="132" t="str">
        <f>IF(Choix_croch=Logistique!$I17,"x","")</f>
        <v/>
      </c>
      <c r="L17" s="103" t="str">
        <f>IF(Choix_croch=Logistique!I17,"x","")</f>
        <v/>
      </c>
      <c r="M17" s="103"/>
      <c r="N17" s="103"/>
      <c r="O17" s="104"/>
      <c r="P17" s="173"/>
      <c r="Q17" s="174">
        <v>8</v>
      </c>
      <c r="S17">
        <v>2500</v>
      </c>
      <c r="T17" s="379">
        <v>380.5</v>
      </c>
    </row>
    <row r="18" spans="1:20" ht="46.2" customHeight="1" x14ac:dyDescent="0.3">
      <c r="A18" s="105">
        <f>IF(HLOOKUP(choix_couv,$K$1:$O$24,ROW(),FALSE)="x",LARGE($A$2:$A17,1)+1,"")</f>
        <v>6</v>
      </c>
      <c r="B18" s="456"/>
      <c r="C18" s="124"/>
      <c r="D18" s="125"/>
      <c r="E18" s="63"/>
      <c r="F18" s="126" t="str">
        <f t="shared" si="3"/>
        <v/>
      </c>
      <c r="G18" s="107">
        <v>380082</v>
      </c>
      <c r="I18" t="s">
        <v>128</v>
      </c>
      <c r="J18">
        <f t="shared" si="6"/>
        <v>84</v>
      </c>
      <c r="K18" s="118" t="str">
        <f>IF(Choix_croch=Logistique!I18,"x","")</f>
        <v>x</v>
      </c>
      <c r="L18" s="105" t="str">
        <f>IF(Choix_croch=Logistique!I18,"x","")</f>
        <v>x</v>
      </c>
      <c r="M18" s="105"/>
      <c r="N18" s="105"/>
      <c r="O18" s="106"/>
      <c r="P18" s="175"/>
      <c r="Q18" s="167">
        <v>8</v>
      </c>
      <c r="S18">
        <v>1042</v>
      </c>
      <c r="T18">
        <v>332</v>
      </c>
    </row>
    <row r="19" spans="1:20" ht="46.2" customHeight="1" x14ac:dyDescent="0.3">
      <c r="A19" s="105" t="str">
        <f>IF(HLOOKUP(choix_couv,$K$1:$O$24,ROW(),FALSE)="x",LARGE($A$2:$A18,1)+1,"")</f>
        <v/>
      </c>
      <c r="B19" s="456"/>
      <c r="C19" s="124"/>
      <c r="D19" s="125"/>
      <c r="E19" s="63"/>
      <c r="F19" s="126" t="str">
        <f t="shared" si="3"/>
        <v/>
      </c>
      <c r="G19" s="107" t="s">
        <v>181</v>
      </c>
      <c r="I19" t="s">
        <v>149</v>
      </c>
      <c r="J19">
        <f t="shared" si="6"/>
        <v>84</v>
      </c>
      <c r="K19" s="118" t="s">
        <v>135</v>
      </c>
      <c r="L19" s="105"/>
      <c r="M19" s="105"/>
      <c r="N19" s="105"/>
      <c r="O19" s="106" t="str">
        <f>IF(Choix_croch=Logistique!$I19,"x","")</f>
        <v/>
      </c>
      <c r="P19" s="15"/>
      <c r="Q19" s="167">
        <v>8</v>
      </c>
      <c r="S19">
        <v>6882.0833333333339</v>
      </c>
      <c r="T19">
        <v>3826.5</v>
      </c>
    </row>
    <row r="20" spans="1:20" ht="46.2" customHeight="1" x14ac:dyDescent="0.3">
      <c r="A20" s="105" t="str">
        <f>IF(HLOOKUP(choix_couv,$K$1:$O$24,ROW(),FALSE)="x",LARGE($A$2:$A19,1)+1,"")</f>
        <v/>
      </c>
      <c r="B20" s="456"/>
      <c r="C20" s="124"/>
      <c r="D20" s="125"/>
      <c r="E20" s="63"/>
      <c r="F20" s="126" t="str">
        <f t="shared" si="3"/>
        <v/>
      </c>
      <c r="G20" s="107" t="s">
        <v>182</v>
      </c>
      <c r="I20" t="s">
        <v>152</v>
      </c>
      <c r="J20">
        <f t="shared" si="6"/>
        <v>84</v>
      </c>
      <c r="K20" s="118" t="s">
        <v>135</v>
      </c>
      <c r="L20" s="105"/>
      <c r="M20" s="105"/>
      <c r="N20" s="105" t="s">
        <v>23</v>
      </c>
      <c r="O20" s="106"/>
      <c r="P20" s="175"/>
      <c r="Q20" s="167">
        <v>8</v>
      </c>
      <c r="S20">
        <v>693.5</v>
      </c>
      <c r="T20">
        <v>296</v>
      </c>
    </row>
    <row r="21" spans="1:20" ht="46.2" customHeight="1" x14ac:dyDescent="0.3">
      <c r="A21" s="105" t="str">
        <f>IF(HLOOKUP(choix_couv,$K$1:$O$24,ROW(),FALSE)="x",LARGE($A$2:$A20,1)+1,"")</f>
        <v/>
      </c>
      <c r="B21" s="456"/>
      <c r="C21" s="124"/>
      <c r="D21" s="125"/>
      <c r="E21" s="63"/>
      <c r="F21" s="126" t="str">
        <f t="shared" si="3"/>
        <v/>
      </c>
      <c r="G21" s="107">
        <v>380080</v>
      </c>
      <c r="I21" t="s">
        <v>125</v>
      </c>
      <c r="J21">
        <f t="shared" si="6"/>
        <v>84</v>
      </c>
      <c r="K21" s="118" t="s">
        <v>135</v>
      </c>
      <c r="L21" s="105"/>
      <c r="M21" s="105" t="s">
        <v>23</v>
      </c>
      <c r="N21" s="105"/>
      <c r="O21" s="106"/>
      <c r="P21" s="175"/>
      <c r="Q21" s="167">
        <v>8</v>
      </c>
      <c r="S21">
        <v>1468.5</v>
      </c>
      <c r="T21">
        <v>1094.5</v>
      </c>
    </row>
    <row r="22" spans="1:20" ht="46.2" customHeight="1" x14ac:dyDescent="0.3">
      <c r="A22" s="105" t="str">
        <f>IF(HLOOKUP(choix_couv,$K$1:$O$24,ROW(),FALSE)="x",LARGE($A$2:$A21,1)+1,"")</f>
        <v/>
      </c>
      <c r="B22" s="456"/>
      <c r="C22" s="124"/>
      <c r="D22" s="125"/>
      <c r="E22" s="63"/>
      <c r="F22" s="126" t="str">
        <f t="shared" si="3"/>
        <v/>
      </c>
      <c r="G22" s="107">
        <v>380030</v>
      </c>
      <c r="I22" t="s">
        <v>126</v>
      </c>
      <c r="J22">
        <f t="shared" si="6"/>
        <v>84</v>
      </c>
      <c r="K22" s="118" t="s">
        <v>135</v>
      </c>
      <c r="L22" s="105"/>
      <c r="M22" s="105"/>
      <c r="N22" s="105"/>
      <c r="O22" s="111" t="str">
        <f>IF(Choix_croch=Logistique!$I22,"x","")</f>
        <v/>
      </c>
      <c r="P22" s="15"/>
      <c r="Q22" s="167">
        <v>8</v>
      </c>
    </row>
    <row r="23" spans="1:20" ht="46.2" customHeight="1" x14ac:dyDescent="0.3">
      <c r="A23" s="105">
        <f>IF(HLOOKUP(choix_couv,$K$1:$O$24,ROW(),FALSE)="x",LARGE($A$2:$A22,1)+1,"")</f>
        <v>7</v>
      </c>
      <c r="B23" s="460" t="s">
        <v>133</v>
      </c>
      <c r="C23" s="120"/>
      <c r="D23" s="121"/>
      <c r="E23" s="122"/>
      <c r="F23" s="122" t="str">
        <f t="shared" si="3"/>
        <v/>
      </c>
      <c r="G23" s="131" t="s">
        <v>104</v>
      </c>
      <c r="I23" s="139" t="s">
        <v>103</v>
      </c>
      <c r="J23" s="183">
        <f>3*Nb_croch</f>
        <v>252</v>
      </c>
      <c r="K23" s="132" t="s">
        <v>23</v>
      </c>
      <c r="L23" s="103" t="s">
        <v>23</v>
      </c>
      <c r="M23" s="103" t="s">
        <v>23</v>
      </c>
      <c r="N23" s="103" t="s">
        <v>23</v>
      </c>
      <c r="O23" s="106"/>
      <c r="P23" s="173"/>
      <c r="Q23" s="174">
        <v>0.5</v>
      </c>
      <c r="S23">
        <v>4439</v>
      </c>
    </row>
    <row r="24" spans="1:20" ht="46.2" customHeight="1" x14ac:dyDescent="0.3">
      <c r="A24" s="105">
        <f>IF(HLOOKUP(choix_couv,$K$1:$O$24,ROW(),FALSE)="x",LARGE($A$2:$A23,1)+1,"")</f>
        <v>8</v>
      </c>
      <c r="B24" s="461"/>
      <c r="C24" s="124"/>
      <c r="D24" s="125"/>
      <c r="E24" s="63"/>
      <c r="F24" s="63" t="str">
        <f t="shared" si="3"/>
        <v/>
      </c>
      <c r="G24" s="107">
        <v>380049</v>
      </c>
      <c r="I24" t="s">
        <v>106</v>
      </c>
      <c r="J24" s="184">
        <f>nb_ligne*nb_colonne</f>
        <v>21</v>
      </c>
      <c r="K24" s="118" t="s">
        <v>23</v>
      </c>
      <c r="L24" s="105" t="s">
        <v>23</v>
      </c>
      <c r="M24" s="105" t="s">
        <v>23</v>
      </c>
      <c r="N24" s="105" t="s">
        <v>23</v>
      </c>
      <c r="O24" s="106" t="s">
        <v>23</v>
      </c>
      <c r="P24" s="175"/>
      <c r="Q24" s="167">
        <v>1</v>
      </c>
    </row>
    <row r="25" spans="1:20" ht="46.2" customHeight="1" x14ac:dyDescent="0.3">
      <c r="A25" s="105" t="str">
        <f>IF(HLOOKUP(choix_couv,$K$1:$O$25,ROW(),FALSE)="x",LARGE($A$2:$A24,1)+1,"")</f>
        <v/>
      </c>
      <c r="B25" s="462"/>
      <c r="C25" s="127"/>
      <c r="D25" s="128"/>
      <c r="E25" s="129"/>
      <c r="F25" s="129"/>
      <c r="G25" s="108" t="s">
        <v>170</v>
      </c>
      <c r="I25" s="109" t="s">
        <v>165</v>
      </c>
      <c r="J25" s="109" t="e">
        <f>ROUNDUP(nb_ligne*nb_colonne/(HLOOKUP(Micro,Micro_fact,2,FALSE)),0)*HLOOKUP(Micro,Micro_fact,3,FALSE)</f>
        <v>#DIV/0!</v>
      </c>
      <c r="K25" s="119" t="str">
        <f>IF(Micro=Données!$G$7,"","x")</f>
        <v/>
      </c>
      <c r="L25" s="110" t="str">
        <f>IF(Micro=Données!$G$7,"","x")</f>
        <v/>
      </c>
      <c r="M25" s="110" t="str">
        <f>IF(Micro=Données!$G$7,"","x")</f>
        <v/>
      </c>
      <c r="N25" s="110" t="str">
        <f>IF(Micro=Données!$G$7,"","x")</f>
        <v/>
      </c>
      <c r="O25" s="111" t="str">
        <f>IF(Micro=Données!$G$7,"","x")</f>
        <v/>
      </c>
      <c r="P25" s="182"/>
      <c r="Q25" s="177">
        <v>1.5</v>
      </c>
    </row>
    <row r="26" spans="1:20" x14ac:dyDescent="0.3">
      <c r="G26" s="25" t="s">
        <v>135</v>
      </c>
    </row>
    <row r="27" spans="1:20" x14ac:dyDescent="0.3">
      <c r="E27" t="str">
        <f>_xlfn.CONCAT("Rail",Long_rail,choix_coul)</f>
        <v>Rail2,4Alu</v>
      </c>
    </row>
    <row r="28" spans="1:20" x14ac:dyDescent="0.3">
      <c r="E28" t="str">
        <f>_xlfn.CONCAT(C10,choix_coul)</f>
        <v>BouchonAlu</v>
      </c>
    </row>
    <row r="29" spans="1:20" x14ac:dyDescent="0.3">
      <c r="E29" t="str">
        <f>_xlfn.CONCAT($C$13,choix_coul)</f>
        <v>BrideAlu</v>
      </c>
    </row>
  </sheetData>
  <sheetProtection selectLockedCells="1"/>
  <mergeCells count="4">
    <mergeCell ref="B13:B16"/>
    <mergeCell ref="B17:B22"/>
    <mergeCell ref="B3:B12"/>
    <mergeCell ref="B23:B25"/>
  </mergeCells>
  <pageMargins left="0.7" right="0.7" top="0.75" bottom="0.75" header="0.3" footer="0.3"/>
  <pageSetup paperSize="9" orientation="portrait" horizontalDpi="4294967293" verticalDpi="300" r:id="rId1"/>
  <ignoredErrors>
    <ignoredError sqref="J1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8A91-55A6-44E5-9E34-47B2A4A554D7}">
  <dimension ref="C3:J14"/>
  <sheetViews>
    <sheetView workbookViewId="0">
      <selection activeCell="E5" sqref="E5"/>
    </sheetView>
  </sheetViews>
  <sheetFormatPr baseColWidth="10" defaultColWidth="11.5546875" defaultRowHeight="14.4" x14ac:dyDescent="0.3"/>
  <sheetData>
    <row r="3" spans="3:10" x14ac:dyDescent="0.3">
      <c r="C3" s="25" t="s">
        <v>319</v>
      </c>
      <c r="D3">
        <v>25</v>
      </c>
      <c r="E3" t="s">
        <v>320</v>
      </c>
    </row>
    <row r="4" spans="3:10" x14ac:dyDescent="0.3">
      <c r="C4" s="25" t="s">
        <v>318</v>
      </c>
      <c r="D4">
        <v>81483.600000000006</v>
      </c>
      <c r="E4" t="s">
        <v>321</v>
      </c>
    </row>
    <row r="5" spans="3:10" x14ac:dyDescent="0.3">
      <c r="C5" s="25" t="s">
        <v>314</v>
      </c>
      <c r="D5">
        <v>255</v>
      </c>
      <c r="E5" t="s">
        <v>322</v>
      </c>
    </row>
    <row r="6" spans="3:10" x14ac:dyDescent="0.3">
      <c r="C6" s="25" t="s">
        <v>324</v>
      </c>
      <c r="D6">
        <v>1.5</v>
      </c>
    </row>
    <row r="7" spans="3:10" x14ac:dyDescent="0.3">
      <c r="F7" t="s">
        <v>317</v>
      </c>
      <c r="J7">
        <f>G9/2546</f>
        <v>1.4857892605048166</v>
      </c>
    </row>
    <row r="8" spans="3:10" x14ac:dyDescent="0.3">
      <c r="D8" t="s">
        <v>315</v>
      </c>
      <c r="E8" t="s">
        <v>316</v>
      </c>
      <c r="F8" t="s">
        <v>323</v>
      </c>
    </row>
    <row r="9" spans="3:10" x14ac:dyDescent="0.3">
      <c r="D9">
        <v>1000</v>
      </c>
      <c r="E9" s="379">
        <v>4465</v>
      </c>
      <c r="F9" s="379">
        <f>RAIL_cont_max*RAIL_Inertia*4/RAIL_fibre/$D9</f>
        <v>3324.5308799999998</v>
      </c>
      <c r="G9" s="348">
        <f>F9/mod_haut*2/mod_larg*1000000</f>
        <v>3782.819457245263</v>
      </c>
      <c r="H9" s="348">
        <f>G9/RAIL_Sécu</f>
        <v>2521.8796381635088</v>
      </c>
      <c r="I9">
        <f>E9/F9</f>
        <v>1.3430466315897178</v>
      </c>
    </row>
    <row r="10" spans="3:10" x14ac:dyDescent="0.3">
      <c r="D10">
        <v>1300</v>
      </c>
      <c r="E10" s="379">
        <v>3262</v>
      </c>
      <c r="F10" s="379">
        <f>$D$5*$D$4*4/$D$3/$D10</f>
        <v>2557.3314461538462</v>
      </c>
      <c r="G10" s="348">
        <f>F10/mod_haut*2/mod_larg*1000000</f>
        <v>2909.8611209578953</v>
      </c>
      <c r="H10" s="348">
        <f>G10/RAIL_Sécu</f>
        <v>1939.9074139719303</v>
      </c>
      <c r="I10">
        <f t="shared" ref="I10:I11" si="0">E10/F10</f>
        <v>1.2755483865440889</v>
      </c>
    </row>
    <row r="11" spans="3:10" x14ac:dyDescent="0.3">
      <c r="D11">
        <v>1500</v>
      </c>
      <c r="E11" s="379">
        <v>2517</v>
      </c>
      <c r="F11" s="379">
        <f>$D$5*$D$4*4/$D$3/$D11</f>
        <v>2216.35392</v>
      </c>
      <c r="G11" s="348">
        <f>F11/mod_haut*2/mod_larg*1000000</f>
        <v>2521.8796381635093</v>
      </c>
      <c r="H11" s="348">
        <f>G11/RAIL_Sécu</f>
        <v>1681.2530921090063</v>
      </c>
      <c r="I11">
        <f t="shared" si="0"/>
        <v>1.1356489490631532</v>
      </c>
    </row>
    <row r="14" spans="3:10" x14ac:dyDescent="0.3">
      <c r="D14">
        <f>ROUNDDOWN(entr_croch_max/Entr_chev,0)*Entr_chev</f>
        <v>1200</v>
      </c>
      <c r="F14" s="347">
        <f>$D$5*$D$4*4/$D$3/$D14</f>
        <v>2770.4423999999999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FCD7-C92B-41E9-A638-0F9240CE91E0}">
  <dimension ref="A1:AV68"/>
  <sheetViews>
    <sheetView zoomScale="82" zoomScaleNormal="100" workbookViewId="0">
      <selection activeCell="E5" sqref="E5"/>
    </sheetView>
  </sheetViews>
  <sheetFormatPr baseColWidth="10" defaultColWidth="11.44140625" defaultRowHeight="14.4" x14ac:dyDescent="0.3"/>
  <cols>
    <col min="2" max="2" width="13.109375" bestFit="1" customWidth="1"/>
    <col min="5" max="5" width="12" bestFit="1" customWidth="1"/>
    <col min="6" max="8" width="11.5546875" customWidth="1"/>
    <col min="9" max="9" width="12.44140625" bestFit="1" customWidth="1"/>
    <col min="10" max="10" width="13.21875" bestFit="1" customWidth="1"/>
    <col min="11" max="13" width="12.44140625" bestFit="1" customWidth="1"/>
    <col min="14" max="14" width="11.5546875" bestFit="1" customWidth="1"/>
    <col min="15" max="16" width="12.44140625" bestFit="1" customWidth="1"/>
    <col min="17" max="17" width="15.109375" customWidth="1"/>
    <col min="18" max="18" width="12.88671875" customWidth="1"/>
    <col min="24" max="24" width="13.5546875" bestFit="1" customWidth="1"/>
    <col min="25" max="36" width="5.88671875" customWidth="1"/>
    <col min="37" max="37" width="2.88671875" customWidth="1"/>
    <col min="38" max="38" width="13.5546875" bestFit="1" customWidth="1"/>
    <col min="39" max="48" width="5.88671875" customWidth="1"/>
  </cols>
  <sheetData>
    <row r="1" spans="2:20" ht="18" x14ac:dyDescent="0.35">
      <c r="B1" t="s">
        <v>198</v>
      </c>
      <c r="C1" s="51" t="s">
        <v>199</v>
      </c>
      <c r="E1" t="s">
        <v>190</v>
      </c>
      <c r="Q1" s="488" t="s">
        <v>328</v>
      </c>
      <c r="R1" s="488"/>
      <c r="S1" s="488"/>
    </row>
    <row r="2" spans="2:20" x14ac:dyDescent="0.3">
      <c r="B2" t="s">
        <v>200</v>
      </c>
      <c r="C2" s="51" t="s">
        <v>201</v>
      </c>
      <c r="E2" t="s">
        <v>191</v>
      </c>
      <c r="R2" s="25" t="s">
        <v>202</v>
      </c>
      <c r="S2">
        <v>3</v>
      </c>
      <c r="T2" t="s">
        <v>203</v>
      </c>
    </row>
    <row r="3" spans="2:20" x14ac:dyDescent="0.3">
      <c r="E3" t="s">
        <v>192</v>
      </c>
      <c r="R3" s="25" t="s">
        <v>204</v>
      </c>
      <c r="S3">
        <v>3</v>
      </c>
      <c r="T3" t="s">
        <v>203</v>
      </c>
    </row>
    <row r="4" spans="2:20" x14ac:dyDescent="0.3">
      <c r="R4" s="25" t="s">
        <v>205</v>
      </c>
      <c r="S4">
        <v>5</v>
      </c>
      <c r="T4" t="s">
        <v>203</v>
      </c>
    </row>
    <row r="5" spans="2:20" ht="16.2" thickBot="1" x14ac:dyDescent="0.35">
      <c r="L5" s="220" t="s">
        <v>206</v>
      </c>
      <c r="M5" s="25" t="str">
        <f>Choix_forme</f>
        <v>Bipan</v>
      </c>
      <c r="R5" s="25"/>
    </row>
    <row r="6" spans="2:20" ht="15.6" x14ac:dyDescent="0.3">
      <c r="B6" s="221"/>
      <c r="C6" s="489" t="s">
        <v>207</v>
      </c>
      <c r="D6" s="490"/>
      <c r="E6" s="490"/>
      <c r="F6" s="490"/>
      <c r="G6" s="489" t="s">
        <v>208</v>
      </c>
      <c r="H6" s="490"/>
      <c r="I6" s="490"/>
      <c r="J6" s="491"/>
      <c r="L6" s="220" t="s">
        <v>209</v>
      </c>
      <c r="M6" s="25">
        <f>pente</f>
        <v>15</v>
      </c>
      <c r="N6" t="s">
        <v>210</v>
      </c>
      <c r="R6" s="25"/>
    </row>
    <row r="7" spans="2:20" ht="16.2" thickBot="1" x14ac:dyDescent="0.35">
      <c r="B7" s="222" t="s">
        <v>211</v>
      </c>
      <c r="C7" s="223">
        <v>1</v>
      </c>
      <c r="D7" s="224">
        <v>2</v>
      </c>
      <c r="E7" s="224">
        <v>3</v>
      </c>
      <c r="F7" s="225">
        <v>4</v>
      </c>
      <c r="G7" s="226" t="s">
        <v>212</v>
      </c>
      <c r="H7" s="227" t="s">
        <v>213</v>
      </c>
      <c r="I7" s="227" t="s">
        <v>214</v>
      </c>
      <c r="J7" s="228" t="s">
        <v>215</v>
      </c>
      <c r="L7" s="220" t="s">
        <v>216</v>
      </c>
      <c r="M7" s="25">
        <f>choix_impl</f>
        <v>3</v>
      </c>
      <c r="R7" s="25"/>
    </row>
    <row r="8" spans="2:20" ht="16.8" thickTop="1" thickBot="1" x14ac:dyDescent="0.35">
      <c r="B8" s="229" t="s">
        <v>217</v>
      </c>
      <c r="C8" s="230">
        <v>22</v>
      </c>
      <c r="D8" s="231">
        <v>24</v>
      </c>
      <c r="E8" s="231">
        <v>26</v>
      </c>
      <c r="F8" s="232">
        <v>28</v>
      </c>
      <c r="G8" s="233">
        <v>36</v>
      </c>
      <c r="H8" s="231">
        <v>17</v>
      </c>
      <c r="I8" s="231">
        <v>32</v>
      </c>
      <c r="J8" s="234">
        <v>34</v>
      </c>
      <c r="L8" s="220" t="s">
        <v>218</v>
      </c>
      <c r="M8" s="25">
        <f>MIN(10,mod_haut*mod_larg*10^-6*nb_ligne*nb_colonne)</f>
        <v>10</v>
      </c>
      <c r="N8" t="s">
        <v>219</v>
      </c>
      <c r="O8" s="25">
        <f>MIN(10,mod_haut*mod_larg*10^-6*nb_ligne*nb_colonne)</f>
        <v>10</v>
      </c>
      <c r="R8" s="25"/>
    </row>
    <row r="9" spans="2:20" x14ac:dyDescent="0.3">
      <c r="R9" s="25" t="s">
        <v>220</v>
      </c>
      <c r="S9">
        <v>3</v>
      </c>
      <c r="T9" t="s">
        <v>219</v>
      </c>
    </row>
    <row r="10" spans="2:20" ht="28.8" x14ac:dyDescent="0.3">
      <c r="B10" s="287" t="s">
        <v>256</v>
      </c>
      <c r="C10" s="315">
        <v>0</v>
      </c>
      <c r="D10" s="2" t="s">
        <v>257</v>
      </c>
      <c r="E10" s="2" t="s">
        <v>258</v>
      </c>
      <c r="F10" s="2" t="s">
        <v>259</v>
      </c>
      <c r="G10" s="2" t="s">
        <v>260</v>
      </c>
      <c r="J10" s="316" t="s">
        <v>275</v>
      </c>
      <c r="K10" s="317" t="str">
        <f>choix_vent</f>
        <v>Guadeloupe</v>
      </c>
      <c r="L10" s="317"/>
    </row>
    <row r="11" spans="2:20" ht="14.4" customHeight="1" x14ac:dyDescent="0.3">
      <c r="B11" s="2" t="s">
        <v>261</v>
      </c>
      <c r="C11" s="2">
        <v>5.0000000000000001E-3</v>
      </c>
      <c r="D11" s="2">
        <v>0.05</v>
      </c>
      <c r="E11" s="2">
        <v>0.2</v>
      </c>
      <c r="F11" s="2">
        <v>0.5</v>
      </c>
      <c r="G11" s="2">
        <v>1</v>
      </c>
      <c r="J11" s="317" t="s">
        <v>276</v>
      </c>
      <c r="K11" s="317" t="str">
        <f>choix_cat</f>
        <v>IIIb</v>
      </c>
      <c r="L11" s="317"/>
    </row>
    <row r="12" spans="2:20" ht="18" customHeight="1" x14ac:dyDescent="0.3">
      <c r="B12" s="2" t="s">
        <v>262</v>
      </c>
      <c r="C12" s="2">
        <v>1</v>
      </c>
      <c r="D12" s="2">
        <v>2</v>
      </c>
      <c r="E12" s="2">
        <v>5</v>
      </c>
      <c r="F12" s="2">
        <v>9</v>
      </c>
      <c r="G12" s="2">
        <v>15</v>
      </c>
      <c r="J12" s="317" t="s">
        <v>277</v>
      </c>
      <c r="K12" s="317">
        <f>haut_bat</f>
        <v>15</v>
      </c>
      <c r="L12" s="317" t="s">
        <v>203</v>
      </c>
    </row>
    <row r="13" spans="2:20" ht="18" customHeight="1" x14ac:dyDescent="0.3">
      <c r="B13" s="15"/>
      <c r="C13" s="15"/>
      <c r="D13" s="15"/>
      <c r="E13" s="15"/>
      <c r="F13" s="15"/>
      <c r="G13" s="15"/>
      <c r="J13" s="317"/>
      <c r="K13" s="317"/>
      <c r="L13" s="317"/>
    </row>
    <row r="14" spans="2:20" x14ac:dyDescent="0.3">
      <c r="B14" s="235" t="s">
        <v>221</v>
      </c>
    </row>
    <row r="15" spans="2:20" ht="18" x14ac:dyDescent="0.35">
      <c r="Q15" s="220"/>
      <c r="R15" s="293"/>
    </row>
    <row r="16" spans="2:20" ht="18" x14ac:dyDescent="0.35">
      <c r="Q16" s="220"/>
      <c r="R16" s="293"/>
    </row>
    <row r="18" spans="2:48" ht="18" x14ac:dyDescent="0.4">
      <c r="C18" s="288" t="s">
        <v>263</v>
      </c>
      <c r="D18" s="289" t="s">
        <v>264</v>
      </c>
    </row>
    <row r="19" spans="2:48" ht="15" thickBot="1" x14ac:dyDescent="0.35"/>
    <row r="20" spans="2:48" ht="20.399999999999999" x14ac:dyDescent="0.45">
      <c r="C20" s="290"/>
      <c r="D20" s="291" t="s">
        <v>265</v>
      </c>
      <c r="E20" s="292" t="str">
        <f>choix_cat</f>
        <v>IIIb</v>
      </c>
      <c r="G20" t="s">
        <v>278</v>
      </c>
      <c r="H20">
        <f>E24*LN(MAX(E21,E23)/E22)</f>
        <v>0.75925111264050338</v>
      </c>
      <c r="J20" s="294" t="s">
        <v>266</v>
      </c>
      <c r="K20" s="319">
        <f>1-(0.0002*POWER(LOG10(E22)+3,6))</f>
        <v>0.92269308488961832</v>
      </c>
      <c r="M20" s="25" t="s">
        <v>279</v>
      </c>
      <c r="N20" s="320">
        <f>K20/(1*LN(IF(haut_bat&lt;=200,MAX(E21,E23),NA())/E22))</f>
        <v>0.27128478043185511</v>
      </c>
    </row>
    <row r="21" spans="2:48" ht="18" x14ac:dyDescent="0.35">
      <c r="C21" s="295"/>
      <c r="D21" s="296" t="s">
        <v>267</v>
      </c>
      <c r="E21" s="297">
        <f>haut_bat</f>
        <v>15</v>
      </c>
      <c r="F21" t="s">
        <v>203</v>
      </c>
      <c r="G21" t="s">
        <v>280</v>
      </c>
      <c r="H21">
        <f>H20*HLOOKUP(choix_vent,Vent_Vb0,2,FALSE)</f>
        <v>27.33304005505812</v>
      </c>
      <c r="I21" t="s">
        <v>281</v>
      </c>
      <c r="J21" s="318" t="s">
        <v>282</v>
      </c>
      <c r="K21" s="298">
        <v>1.2250000000000001</v>
      </c>
      <c r="M21" s="25" t="s">
        <v>288</v>
      </c>
      <c r="N21">
        <f>H20^2*1*(1+7*N20)</f>
        <v>1.6711603003604056</v>
      </c>
    </row>
    <row r="22" spans="2:48" ht="20.399999999999999" x14ac:dyDescent="0.45">
      <c r="C22" s="295"/>
      <c r="D22" s="296" t="s">
        <v>268</v>
      </c>
      <c r="E22" s="297">
        <f>HLOOKUP(E20,Cr_Z,2,0)</f>
        <v>0.5</v>
      </c>
      <c r="F22" t="s">
        <v>203</v>
      </c>
      <c r="G22" t="s">
        <v>287</v>
      </c>
      <c r="H22" s="321">
        <f>0.5*K21*HLOOKUP(choix_vent,Vent_Vb0,2,FALSE)^2</f>
        <v>793.80000000000007</v>
      </c>
      <c r="I22" t="s">
        <v>284</v>
      </c>
      <c r="J22" s="294"/>
      <c r="K22" s="298"/>
      <c r="L22" s="438" t="s">
        <v>398</v>
      </c>
      <c r="M22" s="25" t="s">
        <v>283</v>
      </c>
      <c r="N22">
        <f>N21*H22</f>
        <v>1326.5670464260902</v>
      </c>
      <c r="O22" t="s">
        <v>284</v>
      </c>
      <c r="P22" t="s">
        <v>400</v>
      </c>
    </row>
    <row r="23" spans="2:48" ht="20.399999999999999" x14ac:dyDescent="0.45">
      <c r="C23" s="295"/>
      <c r="D23" s="296" t="s">
        <v>269</v>
      </c>
      <c r="E23" s="297">
        <f>HLOOKUP(E20,Cr_Z,3,0)</f>
        <v>9</v>
      </c>
      <c r="F23" t="s">
        <v>203</v>
      </c>
      <c r="J23" s="294"/>
      <c r="K23" s="298"/>
      <c r="L23" s="438" t="s">
        <v>399</v>
      </c>
      <c r="M23" s="25" t="s">
        <v>283</v>
      </c>
      <c r="N23">
        <f>(1+7*N20)*0.5*K21*H21^2</f>
        <v>1326.5670464260902</v>
      </c>
      <c r="O23" t="s">
        <v>284</v>
      </c>
    </row>
    <row r="24" spans="2:48" ht="21" thickBot="1" x14ac:dyDescent="0.5">
      <c r="C24" s="299"/>
      <c r="D24" s="300" t="s">
        <v>270</v>
      </c>
      <c r="E24" s="301">
        <f>0.19*POWER(E22/D11,0.07)</f>
        <v>0.22323053543851062</v>
      </c>
    </row>
    <row r="26" spans="2:48" ht="18" x14ac:dyDescent="0.35">
      <c r="B26" s="467" t="str">
        <f>C1</f>
        <v>Monopan</v>
      </c>
      <c r="C26" s="467"/>
      <c r="D26" s="467"/>
      <c r="E26" s="467"/>
      <c r="F26" s="467"/>
      <c r="G26" s="467"/>
      <c r="H26" s="467"/>
      <c r="J26" s="468" t="str">
        <f>C2</f>
        <v>Bipan</v>
      </c>
      <c r="K26" s="468"/>
      <c r="L26" s="468"/>
      <c r="M26" s="468"/>
      <c r="N26" s="468"/>
      <c r="O26" s="468"/>
      <c r="Q26" s="493" t="s">
        <v>222</v>
      </c>
      <c r="R26" s="493"/>
      <c r="S26" s="493"/>
      <c r="T26" s="493"/>
      <c r="U26" s="493"/>
      <c r="V26" s="493"/>
      <c r="X26" s="467" t="s">
        <v>223</v>
      </c>
      <c r="Y26" s="467"/>
      <c r="Z26" s="467"/>
      <c r="AA26" s="467"/>
      <c r="AB26" s="467"/>
      <c r="AC26" s="467"/>
      <c r="AD26" s="467"/>
      <c r="AE26" s="467"/>
      <c r="AF26" s="467"/>
      <c r="AG26" s="467"/>
      <c r="AH26" s="467"/>
      <c r="AI26" s="467"/>
      <c r="AJ26" s="467"/>
      <c r="AL26" s="468" t="s">
        <v>224</v>
      </c>
      <c r="AM26" s="468"/>
      <c r="AN26" s="468"/>
      <c r="AO26" s="468"/>
      <c r="AP26" s="468"/>
      <c r="AQ26" s="468"/>
      <c r="AR26" s="468"/>
      <c r="AS26" s="468"/>
      <c r="AT26" s="468"/>
      <c r="AU26" s="468"/>
      <c r="AV26" s="468"/>
    </row>
    <row r="28" spans="2:48" ht="18" x14ac:dyDescent="0.4">
      <c r="B28" s="469" t="s">
        <v>225</v>
      </c>
      <c r="C28" s="469"/>
      <c r="D28" s="469"/>
      <c r="E28" s="469"/>
      <c r="F28" s="469"/>
      <c r="G28" s="469"/>
      <c r="H28" s="469"/>
      <c r="J28" s="470" t="s">
        <v>226</v>
      </c>
      <c r="K28" s="471"/>
      <c r="L28" s="471"/>
      <c r="M28" s="471"/>
      <c r="N28" s="471"/>
      <c r="O28" s="472"/>
      <c r="Q28" s="492" t="s">
        <v>227</v>
      </c>
      <c r="R28" s="473" t="s">
        <v>228</v>
      </c>
      <c r="S28" s="474" t="s">
        <v>229</v>
      </c>
      <c r="T28" s="475" t="s">
        <v>230</v>
      </c>
      <c r="U28" s="476"/>
      <c r="V28" s="476"/>
      <c r="X28" s="477" t="s">
        <v>225</v>
      </c>
      <c r="Y28" s="477"/>
      <c r="Z28" s="477"/>
      <c r="AA28" s="477"/>
      <c r="AB28" s="477"/>
      <c r="AC28" s="477"/>
      <c r="AD28" s="477"/>
      <c r="AE28" s="477"/>
      <c r="AF28" s="477"/>
      <c r="AG28" s="477"/>
      <c r="AH28" s="477"/>
      <c r="AI28" s="477"/>
      <c r="AJ28" s="477"/>
      <c r="AL28" s="478" t="s">
        <v>231</v>
      </c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</row>
    <row r="29" spans="2:48" ht="15.6" x14ac:dyDescent="0.3">
      <c r="B29" s="477" t="s">
        <v>227</v>
      </c>
      <c r="C29" s="477" t="s">
        <v>232</v>
      </c>
      <c r="D29" s="477"/>
      <c r="E29" s="477"/>
      <c r="F29" s="477" t="s">
        <v>233</v>
      </c>
      <c r="G29" s="477"/>
      <c r="H29" s="477"/>
      <c r="J29" s="478" t="s">
        <v>227</v>
      </c>
      <c r="K29" s="485" t="s">
        <v>232</v>
      </c>
      <c r="L29" s="486"/>
      <c r="M29" s="486"/>
      <c r="N29" s="486"/>
      <c r="O29" s="487"/>
      <c r="Q29" s="492"/>
      <c r="R29" s="473"/>
      <c r="S29" s="474"/>
      <c r="T29" s="238" t="s">
        <v>234</v>
      </c>
      <c r="U29" s="238" t="s">
        <v>235</v>
      </c>
      <c r="V29" s="238" t="s">
        <v>236</v>
      </c>
      <c r="X29" s="479" t="s">
        <v>227</v>
      </c>
      <c r="Y29" s="477" t="s">
        <v>232</v>
      </c>
      <c r="Z29" s="477"/>
      <c r="AA29" s="477"/>
      <c r="AB29" s="477"/>
      <c r="AC29" s="477"/>
      <c r="AD29" s="477"/>
      <c r="AE29" s="477" t="s">
        <v>233</v>
      </c>
      <c r="AF29" s="477"/>
      <c r="AG29" s="477"/>
      <c r="AH29" s="477"/>
      <c r="AI29" s="477"/>
      <c r="AJ29" s="477"/>
      <c r="AL29" s="482" t="s">
        <v>227</v>
      </c>
      <c r="AM29" s="485" t="s">
        <v>232</v>
      </c>
      <c r="AN29" s="486"/>
      <c r="AO29" s="486"/>
      <c r="AP29" s="486"/>
      <c r="AQ29" s="486"/>
      <c r="AR29" s="486"/>
      <c r="AS29" s="486"/>
      <c r="AT29" s="486"/>
      <c r="AU29" s="486"/>
      <c r="AV29" s="487"/>
    </row>
    <row r="30" spans="2:48" ht="15.6" x14ac:dyDescent="0.3">
      <c r="B30" s="477"/>
      <c r="C30" s="236" t="s">
        <v>237</v>
      </c>
      <c r="D30" s="236" t="s">
        <v>238</v>
      </c>
      <c r="E30" s="236" t="s">
        <v>239</v>
      </c>
      <c r="F30" s="236" t="s">
        <v>237</v>
      </c>
      <c r="G30" s="236" t="s">
        <v>238</v>
      </c>
      <c r="H30" s="236" t="s">
        <v>239</v>
      </c>
      <c r="J30" s="478"/>
      <c r="K30" s="237" t="s">
        <v>237</v>
      </c>
      <c r="L30" s="237" t="s">
        <v>238</v>
      </c>
      <c r="M30" s="237" t="s">
        <v>239</v>
      </c>
      <c r="N30" s="237" t="s">
        <v>240</v>
      </c>
      <c r="O30" s="237" t="s">
        <v>241</v>
      </c>
      <c r="Q30" s="494">
        <v>0</v>
      </c>
      <c r="R30" s="241" t="s">
        <v>242</v>
      </c>
      <c r="S30" s="242">
        <v>0.2</v>
      </c>
      <c r="T30" s="243">
        <v>0.5</v>
      </c>
      <c r="U30" s="243">
        <v>1.8</v>
      </c>
      <c r="V30" s="243">
        <v>1.1000000000000001</v>
      </c>
      <c r="X30" s="480"/>
      <c r="Y30" s="477" t="s">
        <v>237</v>
      </c>
      <c r="Z30" s="477"/>
      <c r="AA30" s="477" t="s">
        <v>238</v>
      </c>
      <c r="AB30" s="477"/>
      <c r="AC30" s="501" t="s">
        <v>239</v>
      </c>
      <c r="AD30" s="501"/>
      <c r="AE30" s="477" t="s">
        <v>237</v>
      </c>
      <c r="AF30" s="477"/>
      <c r="AG30" s="477" t="s">
        <v>238</v>
      </c>
      <c r="AH30" s="477"/>
      <c r="AI30" s="501" t="s">
        <v>239</v>
      </c>
      <c r="AJ30" s="501"/>
      <c r="AL30" s="483"/>
      <c r="AM30" s="478" t="s">
        <v>237</v>
      </c>
      <c r="AN30" s="478"/>
      <c r="AO30" s="478" t="s">
        <v>238</v>
      </c>
      <c r="AP30" s="478"/>
      <c r="AQ30" s="502" t="s">
        <v>239</v>
      </c>
      <c r="AR30" s="502"/>
      <c r="AS30" s="485" t="s">
        <v>240</v>
      </c>
      <c r="AT30" s="487"/>
      <c r="AU30" s="485" t="s">
        <v>241</v>
      </c>
      <c r="AV30" s="487"/>
    </row>
    <row r="31" spans="2:48" ht="18" x14ac:dyDescent="0.3">
      <c r="B31" s="497">
        <v>5</v>
      </c>
      <c r="C31" s="343">
        <f t="shared" ref="C31:C40" si="0">IF(Module_Area&lt;=1,Z32,IF(Module_Area&gt;=10,Y32,Z32-(Z32-Y32)*LOG10(Module_Area)))</f>
        <v>-1.7</v>
      </c>
      <c r="D31" s="343">
        <f t="shared" ref="D31:D40" si="1">IF(Module_Area&lt;=1,AB32,IF(Module_Area&gt;=10,AA32,AB32-(AB32-AA32)*LOG10(Module_Area)))</f>
        <v>-1.2</v>
      </c>
      <c r="E31" s="343">
        <f t="shared" ref="E31:E40" si="2">IF(Module_Area&lt;=1,AD32,IF(Module_Area&gt;=10,AC32,AD32-(AD32-AC32)*LOG10(Module_Area)))</f>
        <v>-0.6</v>
      </c>
      <c r="F31" s="343">
        <f t="shared" ref="F31:F40" si="3">IF(Module_Area&lt;=1,AF32,IF(Module_Area&gt;=10,AE32,AF32-(AF32-AE32)*LOG10(Module_Area)))</f>
        <v>-2.2999999999999998</v>
      </c>
      <c r="G31" s="343">
        <f t="shared" ref="G31:G40" si="4">IF(Module_Area&lt;=1,AH32,IF(Module_Area&gt;=10,AG32,AH32-(AH32-AG32)*LOG10(Module_Area)))</f>
        <v>-1.3</v>
      </c>
      <c r="H31" s="343">
        <f t="shared" ref="H31:H40" si="5">IF(Module_Area&lt;=1,AJ32,IF(Module_Area&gt;=10,AI32,AJ32-(AJ32-AI32)*LOG10(Module_Area)))</f>
        <v>-0.8</v>
      </c>
      <c r="J31" s="463">
        <v>5</v>
      </c>
      <c r="K31" s="246">
        <f t="shared" ref="K31:K40" si="6">IF(Module_Area&lt;=1,AN32,IF(Module_Area&gt;=10,AM32,AN32-(AN32-AM32)*LOG10(Module_Area)))</f>
        <v>-1.7</v>
      </c>
      <c r="L31" s="246">
        <f t="shared" ref="L31:L40" si="7">IF(Module_Area&lt;=1,AP32,IF(Module_Area&gt;=10,AO32,AP32-(AP32-AO32)*LOG10(Module_Area)))</f>
        <v>-1.2</v>
      </c>
      <c r="M31" s="246">
        <f t="shared" ref="M31:M40" si="8">IF(Module_Area&lt;=1,AR32,IF(Module_Area&gt;=10,AQ32,AR32-(AR32-AQ32)*LOG10(Module_Area)))</f>
        <v>-0.6</v>
      </c>
      <c r="N31" s="246">
        <f t="shared" ref="N31:N40" si="9">IF(Module_Area&lt;=1,AT32,IF(Module_Area&gt;=10,AS32,AT32-(AT32-AS32)*LOG10(Module_Area)))</f>
        <v>-0.6</v>
      </c>
      <c r="O31" s="246">
        <f t="shared" ref="O31:O40" si="10">IF(Module_Area&lt;=1,AV32,IF(Module_Area&gt;=10,AU32,AV32-(AV32-AU32)*LOG10(Module_Area)))</f>
        <v>-0.6</v>
      </c>
      <c r="Q31" s="495"/>
      <c r="R31" s="247" t="s">
        <v>243</v>
      </c>
      <c r="S31" s="248">
        <v>-0.5</v>
      </c>
      <c r="T31" s="249">
        <v>-0.6</v>
      </c>
      <c r="U31" s="249">
        <v>-1.3</v>
      </c>
      <c r="V31" s="249">
        <v>-1.4</v>
      </c>
      <c r="X31" s="481"/>
      <c r="Y31" s="250" t="s">
        <v>244</v>
      </c>
      <c r="Z31" s="250" t="s">
        <v>245</v>
      </c>
      <c r="AA31" s="250" t="s">
        <v>244</v>
      </c>
      <c r="AB31" s="250" t="s">
        <v>245</v>
      </c>
      <c r="AC31" s="250" t="s">
        <v>244</v>
      </c>
      <c r="AD31" s="250" t="s">
        <v>245</v>
      </c>
      <c r="AE31" s="250" t="s">
        <v>244</v>
      </c>
      <c r="AF31" s="250" t="s">
        <v>245</v>
      </c>
      <c r="AG31" s="250" t="s">
        <v>244</v>
      </c>
      <c r="AH31" s="250" t="s">
        <v>245</v>
      </c>
      <c r="AI31" s="250" t="s">
        <v>244</v>
      </c>
      <c r="AJ31" s="250" t="s">
        <v>245</v>
      </c>
      <c r="AL31" s="484"/>
      <c r="AM31" s="251" t="s">
        <v>244</v>
      </c>
      <c r="AN31" s="251" t="s">
        <v>245</v>
      </c>
      <c r="AO31" s="251" t="s">
        <v>244</v>
      </c>
      <c r="AP31" s="251" t="s">
        <v>245</v>
      </c>
      <c r="AQ31" s="251" t="s">
        <v>244</v>
      </c>
      <c r="AR31" s="251" t="s">
        <v>245</v>
      </c>
      <c r="AS31" s="252" t="s">
        <v>244</v>
      </c>
      <c r="AT31" s="252" t="s">
        <v>245</v>
      </c>
      <c r="AU31" s="251" t="s">
        <v>244</v>
      </c>
      <c r="AV31" s="251" t="s">
        <v>245</v>
      </c>
    </row>
    <row r="32" spans="2:48" ht="15.6" x14ac:dyDescent="0.3">
      <c r="B32" s="498"/>
      <c r="C32" s="344">
        <f t="shared" si="0"/>
        <v>0</v>
      </c>
      <c r="D32" s="344">
        <f t="shared" si="1"/>
        <v>0</v>
      </c>
      <c r="E32" s="344">
        <f t="shared" si="2"/>
        <v>0</v>
      </c>
      <c r="F32" s="344">
        <f t="shared" si="3"/>
        <v>-2.2999999999999998</v>
      </c>
      <c r="G32" s="344">
        <f t="shared" si="4"/>
        <v>-1.3</v>
      </c>
      <c r="H32" s="344">
        <f t="shared" si="5"/>
        <v>-0.8</v>
      </c>
      <c r="J32" s="464"/>
      <c r="K32" s="253">
        <f t="shared" si="6"/>
        <v>0</v>
      </c>
      <c r="L32" s="253">
        <f t="shared" si="7"/>
        <v>0</v>
      </c>
      <c r="M32" s="253">
        <f t="shared" si="8"/>
        <v>0</v>
      </c>
      <c r="N32" s="253">
        <f t="shared" si="9"/>
        <v>-0.6</v>
      </c>
      <c r="O32" s="253">
        <f t="shared" si="10"/>
        <v>0.2</v>
      </c>
      <c r="Q32" s="495"/>
      <c r="R32" s="254" t="s">
        <v>246</v>
      </c>
      <c r="S32" s="255">
        <v>-1.3</v>
      </c>
      <c r="T32" s="256">
        <v>-1.5</v>
      </c>
      <c r="U32" s="256">
        <v>-1.8</v>
      </c>
      <c r="V32" s="256">
        <v>-2.2000000000000002</v>
      </c>
      <c r="X32" s="465">
        <v>5</v>
      </c>
      <c r="Y32" s="244">
        <v>-1.7</v>
      </c>
      <c r="Z32" s="244">
        <v>-2.5</v>
      </c>
      <c r="AA32" s="244">
        <v>-1.2</v>
      </c>
      <c r="AB32" s="244">
        <v>-2</v>
      </c>
      <c r="AC32" s="244">
        <v>-0.6</v>
      </c>
      <c r="AD32" s="244">
        <v>-1.2</v>
      </c>
      <c r="AE32" s="257">
        <v>-2.2999999999999998</v>
      </c>
      <c r="AF32" s="257">
        <v>-2.5</v>
      </c>
      <c r="AG32" s="257">
        <v>-1.3</v>
      </c>
      <c r="AH32" s="257">
        <v>-2</v>
      </c>
      <c r="AI32" s="257">
        <v>-0.8</v>
      </c>
      <c r="AJ32" s="257">
        <v>-1.2</v>
      </c>
      <c r="AL32" s="499">
        <v>5</v>
      </c>
      <c r="AM32" s="245">
        <v>-1.7</v>
      </c>
      <c r="AN32" s="245">
        <v>-2.5</v>
      </c>
      <c r="AO32" s="245">
        <v>-1.2</v>
      </c>
      <c r="AP32" s="245">
        <v>-2</v>
      </c>
      <c r="AQ32" s="245">
        <v>-0.6</v>
      </c>
      <c r="AR32" s="258">
        <v>-1.2</v>
      </c>
      <c r="AS32" s="259">
        <v>-0.6</v>
      </c>
      <c r="AT32" s="260">
        <v>-0.6</v>
      </c>
      <c r="AU32" s="261">
        <v>-0.6</v>
      </c>
      <c r="AV32" s="262">
        <v>-0.6</v>
      </c>
    </row>
    <row r="33" spans="1:48" ht="15.6" x14ac:dyDescent="0.3">
      <c r="B33" s="497">
        <v>15</v>
      </c>
      <c r="C33" s="343">
        <f t="shared" si="0"/>
        <v>-0.9</v>
      </c>
      <c r="D33" s="343">
        <f t="shared" si="1"/>
        <v>-0.8</v>
      </c>
      <c r="E33" s="343">
        <f t="shared" si="2"/>
        <v>-0.3</v>
      </c>
      <c r="F33" s="345">
        <f t="shared" si="3"/>
        <v>-2.5</v>
      </c>
      <c r="G33" s="345">
        <f t="shared" si="4"/>
        <v>-1.3</v>
      </c>
      <c r="H33" s="345">
        <f t="shared" si="5"/>
        <v>-0.9</v>
      </c>
      <c r="J33" s="463">
        <v>15</v>
      </c>
      <c r="K33" s="246">
        <f t="shared" si="6"/>
        <v>-0.9</v>
      </c>
      <c r="L33" s="246">
        <f t="shared" si="7"/>
        <v>-0.8</v>
      </c>
      <c r="M33" s="246">
        <f t="shared" si="8"/>
        <v>-0.3</v>
      </c>
      <c r="N33" s="246">
        <f t="shared" si="9"/>
        <v>-0.4</v>
      </c>
      <c r="O33" s="246">
        <f t="shared" si="10"/>
        <v>-1</v>
      </c>
      <c r="Q33" s="496"/>
      <c r="R33" s="263" t="s">
        <v>247</v>
      </c>
      <c r="S33" s="264">
        <f>S31+$R$59*(S32-S31)</f>
        <v>-0.66</v>
      </c>
      <c r="T33" s="265">
        <f>T31+$R$59*(T32-T31)</f>
        <v>-0.78</v>
      </c>
      <c r="U33" s="265">
        <f>U31+$R$59*(U32-U31)</f>
        <v>-1.4000000000000001</v>
      </c>
      <c r="V33" s="265">
        <f>V31+$R$59*(V32-V31)</f>
        <v>-1.56</v>
      </c>
      <c r="X33" s="466"/>
      <c r="Y33" s="266">
        <v>0</v>
      </c>
      <c r="Z33" s="267">
        <v>0</v>
      </c>
      <c r="AA33" s="266">
        <v>0</v>
      </c>
      <c r="AB33" s="267">
        <v>0</v>
      </c>
      <c r="AC33" s="266">
        <v>0</v>
      </c>
      <c r="AD33" s="267">
        <v>0</v>
      </c>
      <c r="AE33" s="268">
        <v>-2.2999999999999998</v>
      </c>
      <c r="AF33" s="268">
        <v>-2.5</v>
      </c>
      <c r="AG33" s="268">
        <v>-1.3</v>
      </c>
      <c r="AH33" s="268">
        <v>-2</v>
      </c>
      <c r="AI33" s="268">
        <v>-0.8</v>
      </c>
      <c r="AJ33" s="268">
        <v>-1.2</v>
      </c>
      <c r="AL33" s="500"/>
      <c r="AM33" s="261">
        <v>0</v>
      </c>
      <c r="AN33" s="262">
        <v>0</v>
      </c>
      <c r="AO33" s="261">
        <v>0</v>
      </c>
      <c r="AP33" s="262">
        <v>0</v>
      </c>
      <c r="AQ33" s="261">
        <v>0</v>
      </c>
      <c r="AR33" s="269">
        <v>0</v>
      </c>
      <c r="AS33" s="270">
        <v>-0.6</v>
      </c>
      <c r="AT33" s="271">
        <v>-0.6</v>
      </c>
      <c r="AU33" s="261">
        <v>0.2</v>
      </c>
      <c r="AV33" s="262">
        <v>0.2</v>
      </c>
    </row>
    <row r="34" spans="1:48" ht="15.6" x14ac:dyDescent="0.3">
      <c r="B34" s="498"/>
      <c r="C34" s="344">
        <f t="shared" si="0"/>
        <v>0.2</v>
      </c>
      <c r="D34" s="344">
        <f t="shared" si="1"/>
        <v>0.2</v>
      </c>
      <c r="E34" s="344">
        <f t="shared" si="2"/>
        <v>0.2</v>
      </c>
      <c r="F34" s="344">
        <f t="shared" si="3"/>
        <v>-2.5</v>
      </c>
      <c r="G34" s="344">
        <f t="shared" si="4"/>
        <v>-1.3</v>
      </c>
      <c r="H34" s="344">
        <f t="shared" si="5"/>
        <v>-0.9</v>
      </c>
      <c r="J34" s="464"/>
      <c r="K34" s="253">
        <f t="shared" si="6"/>
        <v>0.2</v>
      </c>
      <c r="L34" s="253">
        <f t="shared" si="7"/>
        <v>0.2</v>
      </c>
      <c r="M34" s="253">
        <f t="shared" si="8"/>
        <v>0.2</v>
      </c>
      <c r="N34" s="253">
        <f t="shared" si="9"/>
        <v>0</v>
      </c>
      <c r="O34" s="253">
        <f t="shared" si="10"/>
        <v>0</v>
      </c>
      <c r="Q34" s="494">
        <v>5</v>
      </c>
      <c r="R34" s="241" t="s">
        <v>242</v>
      </c>
      <c r="S34" s="242">
        <v>0.4</v>
      </c>
      <c r="T34" s="243">
        <v>0.8</v>
      </c>
      <c r="U34" s="243">
        <v>2.1</v>
      </c>
      <c r="V34" s="243">
        <v>1.3</v>
      </c>
      <c r="X34" s="465">
        <v>15</v>
      </c>
      <c r="Y34" s="244">
        <v>-0.9</v>
      </c>
      <c r="Z34" s="244">
        <v>-2</v>
      </c>
      <c r="AA34" s="244">
        <v>-0.8</v>
      </c>
      <c r="AB34" s="244">
        <v>-1.5</v>
      </c>
      <c r="AC34" s="266">
        <v>-0.3</v>
      </c>
      <c r="AD34" s="267">
        <v>-0.3</v>
      </c>
      <c r="AE34" s="257">
        <v>-2.5</v>
      </c>
      <c r="AF34" s="257">
        <v>-2.8</v>
      </c>
      <c r="AG34" s="257">
        <v>-1.3</v>
      </c>
      <c r="AH34" s="257">
        <v>-2</v>
      </c>
      <c r="AI34" s="257">
        <v>-0.9</v>
      </c>
      <c r="AJ34" s="257">
        <v>-1.2</v>
      </c>
      <c r="AL34" s="499">
        <v>15</v>
      </c>
      <c r="AM34" s="245">
        <v>-0.9</v>
      </c>
      <c r="AN34" s="245">
        <v>-2</v>
      </c>
      <c r="AO34" s="245">
        <v>-0.8</v>
      </c>
      <c r="AP34" s="245">
        <v>-1.5</v>
      </c>
      <c r="AQ34" s="261">
        <v>-0.3</v>
      </c>
      <c r="AR34" s="262">
        <v>-0.3</v>
      </c>
      <c r="AS34" s="261">
        <v>-0.4</v>
      </c>
      <c r="AT34" s="262">
        <v>-0.4</v>
      </c>
      <c r="AU34" s="272">
        <v>-1</v>
      </c>
      <c r="AV34" s="272">
        <v>-1.5</v>
      </c>
    </row>
    <row r="35" spans="1:48" ht="15.6" x14ac:dyDescent="0.3">
      <c r="B35" s="497">
        <v>30</v>
      </c>
      <c r="C35" s="343">
        <f t="shared" si="0"/>
        <v>-0.5</v>
      </c>
      <c r="D35" s="343">
        <f t="shared" si="1"/>
        <v>-0.5</v>
      </c>
      <c r="E35" s="343">
        <f t="shared" si="2"/>
        <v>-0.2</v>
      </c>
      <c r="F35" s="345">
        <f t="shared" si="3"/>
        <v>-1.1000000000000001</v>
      </c>
      <c r="G35" s="345">
        <f t="shared" si="4"/>
        <v>-0.8</v>
      </c>
      <c r="H35" s="345">
        <f t="shared" si="5"/>
        <v>-0.8</v>
      </c>
      <c r="J35" s="463">
        <v>30</v>
      </c>
      <c r="K35" s="246">
        <f t="shared" si="6"/>
        <v>-0.5</v>
      </c>
      <c r="L35" s="246">
        <f t="shared" si="7"/>
        <v>-0.5</v>
      </c>
      <c r="M35" s="246">
        <f t="shared" si="8"/>
        <v>-0.2</v>
      </c>
      <c r="N35" s="246">
        <f t="shared" si="9"/>
        <v>-0.4</v>
      </c>
      <c r="O35" s="246">
        <f t="shared" si="10"/>
        <v>-0.5</v>
      </c>
      <c r="Q35" s="495"/>
      <c r="R35" s="247" t="s">
        <v>243</v>
      </c>
      <c r="S35" s="248">
        <v>-0.7</v>
      </c>
      <c r="T35" s="249">
        <v>-1.1000000000000001</v>
      </c>
      <c r="U35" s="249">
        <v>-1.7</v>
      </c>
      <c r="V35" s="249">
        <v>-1.8</v>
      </c>
      <c r="X35" s="466"/>
      <c r="Y35" s="266">
        <v>0.2</v>
      </c>
      <c r="Z35" s="267">
        <v>0.2</v>
      </c>
      <c r="AA35" s="266">
        <v>0.2</v>
      </c>
      <c r="AB35" s="267">
        <v>0.2</v>
      </c>
      <c r="AC35" s="266">
        <v>0.2</v>
      </c>
      <c r="AD35" s="267">
        <v>0.2</v>
      </c>
      <c r="AE35" s="268">
        <v>-2.5</v>
      </c>
      <c r="AF35" s="268">
        <v>-2.8</v>
      </c>
      <c r="AG35" s="268">
        <v>-1.3</v>
      </c>
      <c r="AH35" s="268">
        <v>-2</v>
      </c>
      <c r="AI35" s="268">
        <v>-0.9</v>
      </c>
      <c r="AJ35" s="268">
        <v>-1.2</v>
      </c>
      <c r="AL35" s="500"/>
      <c r="AM35" s="261">
        <v>0.2</v>
      </c>
      <c r="AN35" s="262">
        <v>0.2</v>
      </c>
      <c r="AO35" s="261">
        <v>0.2</v>
      </c>
      <c r="AP35" s="262">
        <v>0.2</v>
      </c>
      <c r="AQ35" s="261">
        <v>0.2</v>
      </c>
      <c r="AR35" s="262">
        <v>0.2</v>
      </c>
      <c r="AS35" s="261">
        <v>0</v>
      </c>
      <c r="AT35" s="262">
        <v>0</v>
      </c>
      <c r="AU35" s="272">
        <v>0</v>
      </c>
      <c r="AV35" s="272">
        <v>0</v>
      </c>
    </row>
    <row r="36" spans="1:48" ht="15.6" x14ac:dyDescent="0.3">
      <c r="B36" s="498"/>
      <c r="C36" s="344">
        <f t="shared" si="0"/>
        <v>0.7</v>
      </c>
      <c r="D36" s="344">
        <f t="shared" si="1"/>
        <v>0.7</v>
      </c>
      <c r="E36" s="344">
        <f t="shared" si="2"/>
        <v>0.4</v>
      </c>
      <c r="F36" s="344">
        <f t="shared" si="3"/>
        <v>-1.1000000000000001</v>
      </c>
      <c r="G36" s="344">
        <f t="shared" si="4"/>
        <v>-0.8</v>
      </c>
      <c r="H36" s="344">
        <f t="shared" si="5"/>
        <v>-0.8</v>
      </c>
      <c r="J36" s="464"/>
      <c r="K36" s="253">
        <f t="shared" si="6"/>
        <v>0.7</v>
      </c>
      <c r="L36" s="253">
        <f t="shared" si="7"/>
        <v>0.7</v>
      </c>
      <c r="M36" s="253">
        <f t="shared" si="8"/>
        <v>0.4</v>
      </c>
      <c r="N36" s="253">
        <f t="shared" si="9"/>
        <v>0</v>
      </c>
      <c r="O36" s="253">
        <f t="shared" si="10"/>
        <v>0</v>
      </c>
      <c r="Q36" s="495"/>
      <c r="R36" s="254" t="s">
        <v>246</v>
      </c>
      <c r="S36" s="255">
        <v>-1.4</v>
      </c>
      <c r="T36" s="256">
        <v>-1.6</v>
      </c>
      <c r="U36" s="256">
        <v>-2.2000000000000002</v>
      </c>
      <c r="V36" s="256">
        <v>-2.5</v>
      </c>
      <c r="X36" s="465">
        <v>30</v>
      </c>
      <c r="Y36" s="244">
        <v>-0.5</v>
      </c>
      <c r="Z36" s="244">
        <v>-1.5</v>
      </c>
      <c r="AA36" s="244">
        <v>-0.5</v>
      </c>
      <c r="AB36" s="244">
        <v>-1.5</v>
      </c>
      <c r="AC36" s="266">
        <v>-0.2</v>
      </c>
      <c r="AD36" s="267">
        <v>-0.2</v>
      </c>
      <c r="AE36" s="257">
        <v>-1.1000000000000001</v>
      </c>
      <c r="AF36" s="257">
        <v>-2.2999999999999998</v>
      </c>
      <c r="AG36" s="257">
        <v>-0.8</v>
      </c>
      <c r="AH36" s="257">
        <v>-1.5</v>
      </c>
      <c r="AI36" s="273">
        <v>-0.8</v>
      </c>
      <c r="AJ36" s="274">
        <v>-0.8</v>
      </c>
      <c r="AL36" s="499">
        <v>30</v>
      </c>
      <c r="AM36" s="245">
        <v>-0.5</v>
      </c>
      <c r="AN36" s="245">
        <v>-1.5</v>
      </c>
      <c r="AO36" s="245">
        <v>-0.5</v>
      </c>
      <c r="AP36" s="245">
        <v>-1.5</v>
      </c>
      <c r="AQ36" s="261">
        <v>-0.2</v>
      </c>
      <c r="AR36" s="262">
        <v>-0.2</v>
      </c>
      <c r="AS36" s="261">
        <v>-0.4</v>
      </c>
      <c r="AT36" s="262">
        <v>-0.4</v>
      </c>
      <c r="AU36" s="261">
        <v>-0.5</v>
      </c>
      <c r="AV36" s="262">
        <v>-0.5</v>
      </c>
    </row>
    <row r="37" spans="1:48" ht="15.6" x14ac:dyDescent="0.3">
      <c r="B37" s="497">
        <v>45</v>
      </c>
      <c r="C37" s="343">
        <f t="shared" si="0"/>
        <v>0</v>
      </c>
      <c r="D37" s="343">
        <f t="shared" si="1"/>
        <v>0</v>
      </c>
      <c r="E37" s="343">
        <f t="shared" si="2"/>
        <v>0</v>
      </c>
      <c r="F37" s="345">
        <f t="shared" si="3"/>
        <v>-0.6</v>
      </c>
      <c r="G37" s="345">
        <f t="shared" si="4"/>
        <v>-0.5</v>
      </c>
      <c r="H37" s="345">
        <f t="shared" si="5"/>
        <v>-0.7</v>
      </c>
      <c r="J37" s="463">
        <v>45</v>
      </c>
      <c r="K37" s="246">
        <f t="shared" si="6"/>
        <v>0</v>
      </c>
      <c r="L37" s="246">
        <f t="shared" si="7"/>
        <v>0</v>
      </c>
      <c r="M37" s="246">
        <f t="shared" si="8"/>
        <v>0</v>
      </c>
      <c r="N37" s="246">
        <f t="shared" si="9"/>
        <v>-0.2</v>
      </c>
      <c r="O37" s="246">
        <f t="shared" si="10"/>
        <v>-0.3</v>
      </c>
      <c r="Q37" s="496"/>
      <c r="R37" s="263" t="s">
        <v>248</v>
      </c>
      <c r="S37" s="264">
        <f>S35+$R$59*(S36-S35)</f>
        <v>-0.84</v>
      </c>
      <c r="T37" s="265">
        <f>T35+$R$59*(T36-T35)</f>
        <v>-1.2000000000000002</v>
      </c>
      <c r="U37" s="265">
        <f>U35+$R$59*(U36-U35)</f>
        <v>-1.8</v>
      </c>
      <c r="V37" s="265">
        <f>V35+$R$59*(V36-V35)</f>
        <v>-1.94</v>
      </c>
      <c r="X37" s="466"/>
      <c r="Y37" s="266">
        <v>0.7</v>
      </c>
      <c r="Z37" s="267">
        <v>0.7</v>
      </c>
      <c r="AA37" s="266">
        <v>0.7</v>
      </c>
      <c r="AB37" s="267">
        <v>0.7</v>
      </c>
      <c r="AC37" s="266">
        <v>0.4</v>
      </c>
      <c r="AD37" s="267">
        <v>0.4</v>
      </c>
      <c r="AE37" s="268">
        <v>-1.1000000000000001</v>
      </c>
      <c r="AF37" s="268">
        <v>-2.2999999999999998</v>
      </c>
      <c r="AG37" s="268">
        <v>-0.8</v>
      </c>
      <c r="AH37" s="268">
        <v>-1.5</v>
      </c>
      <c r="AI37" s="275">
        <v>-0.8</v>
      </c>
      <c r="AJ37" s="276">
        <v>-0.8</v>
      </c>
      <c r="AL37" s="500"/>
      <c r="AM37" s="261">
        <v>0.7</v>
      </c>
      <c r="AN37" s="262">
        <v>0.7</v>
      </c>
      <c r="AO37" s="261">
        <v>0.7</v>
      </c>
      <c r="AP37" s="262">
        <v>0.7</v>
      </c>
      <c r="AQ37" s="261">
        <v>0.4</v>
      </c>
      <c r="AR37" s="262">
        <v>0.4</v>
      </c>
      <c r="AS37" s="261">
        <v>0</v>
      </c>
      <c r="AT37" s="262">
        <v>0</v>
      </c>
      <c r="AU37" s="261">
        <v>0</v>
      </c>
      <c r="AV37" s="262">
        <v>0</v>
      </c>
    </row>
    <row r="38" spans="1:48" ht="15.6" x14ac:dyDescent="0.3">
      <c r="B38" s="498"/>
      <c r="C38" s="344">
        <f t="shared" si="0"/>
        <v>0.7</v>
      </c>
      <c r="D38" s="344">
        <f t="shared" si="1"/>
        <v>0.7</v>
      </c>
      <c r="E38" s="344">
        <f t="shared" si="2"/>
        <v>0.6</v>
      </c>
      <c r="F38" s="344">
        <f t="shared" si="3"/>
        <v>-0.6</v>
      </c>
      <c r="G38" s="344">
        <f t="shared" si="4"/>
        <v>-0.5</v>
      </c>
      <c r="H38" s="344">
        <f t="shared" si="5"/>
        <v>-0.7</v>
      </c>
      <c r="J38" s="464"/>
      <c r="K38" s="253">
        <f t="shared" si="6"/>
        <v>0.7</v>
      </c>
      <c r="L38" s="253">
        <f t="shared" si="7"/>
        <v>0.7</v>
      </c>
      <c r="M38" s="253">
        <f t="shared" si="8"/>
        <v>0.6</v>
      </c>
      <c r="N38" s="253">
        <f t="shared" si="9"/>
        <v>0</v>
      </c>
      <c r="O38" s="253">
        <f t="shared" si="10"/>
        <v>0</v>
      </c>
      <c r="Q38" s="494">
        <v>10</v>
      </c>
      <c r="R38" s="241" t="s">
        <v>242</v>
      </c>
      <c r="S38" s="242">
        <v>0.5</v>
      </c>
      <c r="T38" s="243">
        <v>1.2</v>
      </c>
      <c r="U38" s="243">
        <v>2.4</v>
      </c>
      <c r="V38" s="243">
        <v>1.6</v>
      </c>
      <c r="X38" s="465">
        <v>45</v>
      </c>
      <c r="Y38" s="266">
        <v>0</v>
      </c>
      <c r="Z38" s="267">
        <v>0</v>
      </c>
      <c r="AA38" s="266">
        <v>0</v>
      </c>
      <c r="AB38" s="267">
        <v>0</v>
      </c>
      <c r="AC38" s="266">
        <v>0</v>
      </c>
      <c r="AD38" s="267">
        <v>0</v>
      </c>
      <c r="AE38" s="257">
        <v>-0.6</v>
      </c>
      <c r="AF38" s="257">
        <v>-1.3</v>
      </c>
      <c r="AG38" s="273">
        <v>-0.5</v>
      </c>
      <c r="AH38" s="274">
        <v>-0.5</v>
      </c>
      <c r="AI38" s="273">
        <v>-0.7</v>
      </c>
      <c r="AJ38" s="274">
        <v>-0.7</v>
      </c>
      <c r="AL38" s="499">
        <v>45</v>
      </c>
      <c r="AM38" s="261">
        <v>0</v>
      </c>
      <c r="AN38" s="262">
        <v>0</v>
      </c>
      <c r="AO38" s="261">
        <v>0</v>
      </c>
      <c r="AP38" s="262">
        <v>0</v>
      </c>
      <c r="AQ38" s="261">
        <v>0</v>
      </c>
      <c r="AR38" s="262">
        <v>0</v>
      </c>
      <c r="AS38" s="261">
        <v>-0.2</v>
      </c>
      <c r="AT38" s="262">
        <v>-0.2</v>
      </c>
      <c r="AU38" s="261">
        <v>-0.3</v>
      </c>
      <c r="AV38" s="262">
        <v>-0.3</v>
      </c>
    </row>
    <row r="39" spans="1:48" ht="15.6" x14ac:dyDescent="0.3">
      <c r="B39" s="236">
        <v>60</v>
      </c>
      <c r="C39" s="346">
        <f t="shared" si="0"/>
        <v>0.7</v>
      </c>
      <c r="D39" s="346">
        <f t="shared" si="1"/>
        <v>0.7</v>
      </c>
      <c r="E39" s="346">
        <f t="shared" si="2"/>
        <v>0.7</v>
      </c>
      <c r="F39" s="346">
        <f t="shared" si="3"/>
        <v>-0.5</v>
      </c>
      <c r="G39" s="346">
        <f t="shared" si="4"/>
        <v>-0.5</v>
      </c>
      <c r="H39" s="346">
        <f t="shared" si="5"/>
        <v>-0.5</v>
      </c>
      <c r="J39" s="237">
        <v>60</v>
      </c>
      <c r="K39" s="237">
        <f t="shared" si="6"/>
        <v>0.7</v>
      </c>
      <c r="L39" s="237">
        <f t="shared" si="7"/>
        <v>0.7</v>
      </c>
      <c r="M39" s="237">
        <f t="shared" si="8"/>
        <v>0.7</v>
      </c>
      <c r="N39" s="237">
        <f t="shared" si="9"/>
        <v>-0.2</v>
      </c>
      <c r="O39" s="237">
        <f t="shared" si="10"/>
        <v>-0.3</v>
      </c>
      <c r="Q39" s="495"/>
      <c r="R39" s="247" t="s">
        <v>243</v>
      </c>
      <c r="S39" s="248">
        <v>-0.9</v>
      </c>
      <c r="T39" s="249">
        <v>-1.5</v>
      </c>
      <c r="U39" s="249">
        <v>-2</v>
      </c>
      <c r="V39" s="249">
        <v>-2.1</v>
      </c>
      <c r="X39" s="466"/>
      <c r="Y39" s="266">
        <v>0.7</v>
      </c>
      <c r="Z39" s="267">
        <v>0.7</v>
      </c>
      <c r="AA39" s="266">
        <v>0.7</v>
      </c>
      <c r="AB39" s="267">
        <v>0.7</v>
      </c>
      <c r="AC39" s="266">
        <v>0.6</v>
      </c>
      <c r="AD39" s="267">
        <v>0.6</v>
      </c>
      <c r="AE39" s="268">
        <v>-0.6</v>
      </c>
      <c r="AF39" s="268">
        <v>-1.3</v>
      </c>
      <c r="AG39" s="275">
        <v>-0.5</v>
      </c>
      <c r="AH39" s="276">
        <v>-0.5</v>
      </c>
      <c r="AI39" s="275">
        <v>-0.7</v>
      </c>
      <c r="AJ39" s="276">
        <v>-0.7</v>
      </c>
      <c r="AL39" s="500"/>
      <c r="AM39" s="261">
        <v>0.7</v>
      </c>
      <c r="AN39" s="262">
        <v>0.7</v>
      </c>
      <c r="AO39" s="261">
        <v>0.7</v>
      </c>
      <c r="AP39" s="262">
        <v>0.7</v>
      </c>
      <c r="AQ39" s="261">
        <v>0.6</v>
      </c>
      <c r="AR39" s="262">
        <v>0.6</v>
      </c>
      <c r="AS39" s="261">
        <v>0</v>
      </c>
      <c r="AT39" s="262">
        <v>0</v>
      </c>
      <c r="AU39" s="261">
        <v>0</v>
      </c>
      <c r="AV39" s="262">
        <v>0</v>
      </c>
    </row>
    <row r="40" spans="1:48" ht="15.6" x14ac:dyDescent="0.3">
      <c r="B40" s="236">
        <v>75</v>
      </c>
      <c r="C40" s="346">
        <f t="shared" si="0"/>
        <v>0.8</v>
      </c>
      <c r="D40" s="346">
        <f t="shared" si="1"/>
        <v>0.8</v>
      </c>
      <c r="E40" s="346">
        <f t="shared" si="2"/>
        <v>0.8</v>
      </c>
      <c r="F40" s="346">
        <f t="shared" si="3"/>
        <v>-0.5</v>
      </c>
      <c r="G40" s="346">
        <f t="shared" si="4"/>
        <v>-0.5</v>
      </c>
      <c r="H40" s="346">
        <f t="shared" si="5"/>
        <v>-0.5</v>
      </c>
      <c r="J40" s="237">
        <v>75</v>
      </c>
      <c r="K40" s="237">
        <f t="shared" si="6"/>
        <v>0.8</v>
      </c>
      <c r="L40" s="237">
        <f t="shared" si="7"/>
        <v>0.8</v>
      </c>
      <c r="M40" s="237">
        <f t="shared" si="8"/>
        <v>0.8</v>
      </c>
      <c r="N40" s="237">
        <f t="shared" si="9"/>
        <v>-0.2</v>
      </c>
      <c r="O40" s="237">
        <f t="shared" si="10"/>
        <v>-0.3</v>
      </c>
      <c r="Q40" s="495"/>
      <c r="R40" s="254" t="s">
        <v>246</v>
      </c>
      <c r="S40" s="255">
        <v>-1.4</v>
      </c>
      <c r="T40" s="256">
        <v>-2.1</v>
      </c>
      <c r="U40" s="256">
        <v>-2.6</v>
      </c>
      <c r="V40" s="256">
        <v>-2.7</v>
      </c>
      <c r="X40" s="244">
        <v>60</v>
      </c>
      <c r="Y40" s="266">
        <v>0.7</v>
      </c>
      <c r="Z40" s="267">
        <v>0.7</v>
      </c>
      <c r="AA40" s="266">
        <v>0.7</v>
      </c>
      <c r="AB40" s="267">
        <v>0.7</v>
      </c>
      <c r="AC40" s="266">
        <v>0.7</v>
      </c>
      <c r="AD40" s="267">
        <v>0.7</v>
      </c>
      <c r="AE40" s="244">
        <v>-0.5</v>
      </c>
      <c r="AF40" s="244">
        <v>-1</v>
      </c>
      <c r="AG40" s="266">
        <v>-0.5</v>
      </c>
      <c r="AH40" s="267">
        <v>-0.5</v>
      </c>
      <c r="AI40" s="266">
        <v>-0.5</v>
      </c>
      <c r="AJ40" s="267">
        <v>-0.5</v>
      </c>
      <c r="AL40" s="245">
        <v>60</v>
      </c>
      <c r="AM40" s="261">
        <v>0.7</v>
      </c>
      <c r="AN40" s="262">
        <v>0.7</v>
      </c>
      <c r="AO40" s="261">
        <v>0.7</v>
      </c>
      <c r="AP40" s="262">
        <v>0.7</v>
      </c>
      <c r="AQ40" s="261">
        <v>0.7</v>
      </c>
      <c r="AR40" s="262">
        <v>0.7</v>
      </c>
      <c r="AS40" s="258">
        <v>-0.2</v>
      </c>
      <c r="AT40" s="278">
        <v>-0.2</v>
      </c>
      <c r="AU40" s="261">
        <v>-0.3</v>
      </c>
      <c r="AV40" s="262">
        <v>-0.3</v>
      </c>
    </row>
    <row r="41" spans="1:48" ht="15.6" x14ac:dyDescent="0.3">
      <c r="B41" s="279"/>
      <c r="C41" s="279"/>
      <c r="D41" s="279"/>
      <c r="E41" s="279"/>
      <c r="F41" s="279"/>
      <c r="G41" s="279"/>
      <c r="H41" s="279"/>
      <c r="Q41" s="496"/>
      <c r="R41" s="263" t="s">
        <v>247</v>
      </c>
      <c r="S41" s="264">
        <f>S39+$R$59*(S40-S39)</f>
        <v>-1</v>
      </c>
      <c r="T41" s="265">
        <f>T39+$R$59*(T40-T39)</f>
        <v>-1.62</v>
      </c>
      <c r="U41" s="265">
        <f>U39+$R$59*(U40-U39)</f>
        <v>-2.12</v>
      </c>
      <c r="V41" s="265">
        <f>V39+$R$59*(V40-V39)</f>
        <v>-2.2200000000000002</v>
      </c>
      <c r="X41" s="244">
        <v>75</v>
      </c>
      <c r="Y41" s="266">
        <v>0.8</v>
      </c>
      <c r="Z41" s="267">
        <v>0.8</v>
      </c>
      <c r="AA41" s="266">
        <v>0.8</v>
      </c>
      <c r="AB41" s="267">
        <v>0.8</v>
      </c>
      <c r="AC41" s="266">
        <v>0.8</v>
      </c>
      <c r="AD41" s="267">
        <v>0.8</v>
      </c>
      <c r="AE41" s="244">
        <v>-0.5</v>
      </c>
      <c r="AF41" s="244">
        <v>-1</v>
      </c>
      <c r="AG41" s="266">
        <v>-0.5</v>
      </c>
      <c r="AH41" s="267">
        <v>-0.5</v>
      </c>
      <c r="AI41" s="266">
        <v>-0.5</v>
      </c>
      <c r="AJ41" s="267">
        <v>-0.5</v>
      </c>
      <c r="AL41" s="245">
        <v>75</v>
      </c>
      <c r="AM41" s="261">
        <v>0.8</v>
      </c>
      <c r="AN41" s="262">
        <v>0.8</v>
      </c>
      <c r="AO41" s="261">
        <v>0.8</v>
      </c>
      <c r="AP41" s="262">
        <v>0.8</v>
      </c>
      <c r="AQ41" s="261">
        <v>0.8</v>
      </c>
      <c r="AR41" s="262">
        <v>0.8</v>
      </c>
      <c r="AS41" s="258">
        <v>-0.2</v>
      </c>
      <c r="AT41" s="278">
        <v>-0.2</v>
      </c>
      <c r="AU41" s="261">
        <v>-0.3</v>
      </c>
      <c r="AV41" s="262">
        <v>-0.3</v>
      </c>
    </row>
    <row r="42" spans="1:48" ht="15.6" x14ac:dyDescent="0.3">
      <c r="A42" s="25" t="s">
        <v>249</v>
      </c>
      <c r="B42" s="503">
        <f>pente</f>
        <v>15</v>
      </c>
      <c r="C42" s="281">
        <f t="shared" ref="C42:H43" si="11">IF($B$42&lt;=$B$31, C31,IF(AND($B$42&gt;$B$31,$B$42&lt;=$B$33),C31+(($B$42-$B$31)*(C33-C31)/($B$33-$B$31)),IF(AND($B$42&gt;$B$33,$B$42&lt;=$B$35),C33+(($B$42-$B$33)*(C35-C33)/($B$35-$B$33)),IF(AND($B$42&gt;$B$35,$B$42&lt;=$B$37),C35+(($B$42-$B$35)*(C37-C35)/($B$37-$B$35)),IF(AND($B$42&gt;$B$37,$B$42&lt;=$B$39),C37+(($B$42-$B$37)*(C$39-C37)/($B$39-$B$37)),IF(AND($B$42&gt;$B$39,$B$42&lt;=$B$40),C$39+(($B$42-$B$39)*(C$40-C$39)/($B$40-$B$39)),0))))))</f>
        <v>-0.9</v>
      </c>
      <c r="D42" s="281">
        <f t="shared" si="11"/>
        <v>-0.8</v>
      </c>
      <c r="E42" s="281">
        <f t="shared" si="11"/>
        <v>-0.3</v>
      </c>
      <c r="F42" s="281">
        <f t="shared" si="11"/>
        <v>-2.5</v>
      </c>
      <c r="G42" s="281">
        <f t="shared" si="11"/>
        <v>-1.3</v>
      </c>
      <c r="H42" s="281">
        <f t="shared" si="11"/>
        <v>-0.9</v>
      </c>
      <c r="I42" s="25" t="s">
        <v>249</v>
      </c>
      <c r="J42" s="504">
        <f>pente</f>
        <v>15</v>
      </c>
      <c r="K42" s="281">
        <f t="shared" ref="K42:O43" si="12">IF($B$42&lt;=$B$31, K31,IF(AND($B$42&gt;$B$31,$B$42&lt;=$B$33),K31+(($B$42-$B$31)*(K33-K31)/($B$33-$B$31)),IF(AND($B$42&gt;$B$33,$B$42&lt;=$B$35),K33+(($B$42-$B$33)*(K35-K33)/($B$35-$B$33)),IF(AND($B$42&gt;$B$35,$B$42&lt;=$B$37),K35+(($B$42-$B$35)*(K37-K35)/($B$37-$B$35)),IF(AND($B$42&gt;$B$37,$B$42&lt;=$B$39),K37+(($B$42-$B$37)*(K$39-K37)/($B$39-$B$37)),IF(AND($B$42&gt;$B$39,$B$42&lt;=$B$40),K$39+(($B$42-$B$39)*(K$40-K$39)/($B$40-$B$39)),0))))))</f>
        <v>-0.9</v>
      </c>
      <c r="L42" s="281">
        <f t="shared" si="12"/>
        <v>-0.8</v>
      </c>
      <c r="M42" s="281">
        <f t="shared" si="12"/>
        <v>-0.3</v>
      </c>
      <c r="N42" s="281">
        <f t="shared" si="12"/>
        <v>-0.4</v>
      </c>
      <c r="O42" s="281">
        <f t="shared" si="12"/>
        <v>-1</v>
      </c>
      <c r="Q42" s="494">
        <v>15</v>
      </c>
      <c r="R42" s="241" t="s">
        <v>242</v>
      </c>
      <c r="S42" s="242">
        <v>0.7</v>
      </c>
      <c r="T42" s="243">
        <v>1.4</v>
      </c>
      <c r="U42" s="243">
        <v>2.7</v>
      </c>
      <c r="V42" s="243">
        <v>1.8</v>
      </c>
    </row>
    <row r="43" spans="1:48" ht="15.6" x14ac:dyDescent="0.3">
      <c r="A43" s="25" t="s">
        <v>250</v>
      </c>
      <c r="B43" s="503"/>
      <c r="C43" s="281">
        <f t="shared" si="11"/>
        <v>0.2</v>
      </c>
      <c r="D43" s="281">
        <f t="shared" si="11"/>
        <v>0.2</v>
      </c>
      <c r="E43" s="281">
        <f t="shared" si="11"/>
        <v>0.2</v>
      </c>
      <c r="F43" s="281">
        <f t="shared" si="11"/>
        <v>-2.5</v>
      </c>
      <c r="G43" s="281">
        <f t="shared" si="11"/>
        <v>-1.3</v>
      </c>
      <c r="H43" s="281">
        <f t="shared" si="11"/>
        <v>-0.9</v>
      </c>
      <c r="I43" s="25" t="s">
        <v>250</v>
      </c>
      <c r="J43" s="504"/>
      <c r="K43" s="281">
        <f t="shared" si="12"/>
        <v>0.2</v>
      </c>
      <c r="L43" s="281">
        <f t="shared" si="12"/>
        <v>0.2</v>
      </c>
      <c r="M43" s="281">
        <f t="shared" si="12"/>
        <v>0.2</v>
      </c>
      <c r="N43" s="281">
        <f t="shared" si="12"/>
        <v>0</v>
      </c>
      <c r="O43" s="281">
        <f t="shared" si="12"/>
        <v>0</v>
      </c>
      <c r="Q43" s="495"/>
      <c r="R43" s="247" t="s">
        <v>243</v>
      </c>
      <c r="S43" s="248">
        <v>-1.1000000000000001</v>
      </c>
      <c r="T43" s="249">
        <v>-1.8</v>
      </c>
      <c r="U43" s="249">
        <v>-2.4</v>
      </c>
      <c r="V43" s="249">
        <v>-2.5</v>
      </c>
    </row>
    <row r="44" spans="1:48" ht="18" x14ac:dyDescent="0.3">
      <c r="B44" s="279"/>
      <c r="C44" s="279"/>
      <c r="D44" s="279"/>
      <c r="E44" s="279"/>
      <c r="F44" s="279"/>
      <c r="G44" s="279"/>
      <c r="H44" s="279"/>
      <c r="Q44" s="495"/>
      <c r="R44" s="254" t="s">
        <v>246</v>
      </c>
      <c r="S44" s="255">
        <v>-1.4</v>
      </c>
      <c r="T44" s="256">
        <v>-1.6</v>
      </c>
      <c r="U44" s="256">
        <v>-2.9</v>
      </c>
      <c r="V44" s="256">
        <v>-3</v>
      </c>
      <c r="X44" s="477" t="s">
        <v>225</v>
      </c>
      <c r="Y44" s="477"/>
      <c r="Z44" s="477"/>
      <c r="AA44" s="477"/>
      <c r="AB44" s="477"/>
      <c r="AC44" s="477"/>
      <c r="AD44" s="477"/>
      <c r="AE44" s="477"/>
      <c r="AF44" s="477"/>
      <c r="AG44" s="477"/>
      <c r="AH44" s="477"/>
      <c r="AL44" s="478" t="s">
        <v>231</v>
      </c>
      <c r="AM44" s="478"/>
      <c r="AN44" s="478"/>
      <c r="AO44" s="478"/>
      <c r="AP44" s="478"/>
      <c r="AQ44" s="478"/>
      <c r="AR44" s="478"/>
      <c r="AS44" s="478"/>
      <c r="AT44" s="478"/>
    </row>
    <row r="45" spans="1:48" ht="18" x14ac:dyDescent="0.3">
      <c r="B45" s="505" t="s">
        <v>225</v>
      </c>
      <c r="C45" s="506"/>
      <c r="D45" s="506"/>
      <c r="E45" s="506"/>
      <c r="F45" s="506"/>
      <c r="G45" s="507"/>
      <c r="H45" s="279"/>
      <c r="J45" s="485" t="s">
        <v>226</v>
      </c>
      <c r="K45" s="486"/>
      <c r="L45" s="486"/>
      <c r="M45" s="486"/>
      <c r="N45" s="487"/>
      <c r="Q45" s="496"/>
      <c r="R45" s="263" t="s">
        <v>247</v>
      </c>
      <c r="S45" s="264">
        <f>S43+$R$59*(S44-S43)</f>
        <v>-1.1600000000000001</v>
      </c>
      <c r="T45" s="265">
        <f>T43+$R$59*(T44-T43)</f>
        <v>-1.76</v>
      </c>
      <c r="U45" s="265">
        <f>U43+$R$59*(U44-U43)</f>
        <v>-2.5</v>
      </c>
      <c r="V45" s="265">
        <f>V43+$R$59*(V44-V43)</f>
        <v>-2.6</v>
      </c>
      <c r="X45" s="477" t="s">
        <v>227</v>
      </c>
      <c r="Y45" s="477" t="s">
        <v>251</v>
      </c>
      <c r="Z45" s="477"/>
      <c r="AA45" s="477"/>
      <c r="AB45" s="477"/>
      <c r="AC45" s="477"/>
      <c r="AD45" s="477"/>
      <c r="AE45" s="477"/>
      <c r="AF45" s="477"/>
      <c r="AG45" s="477"/>
      <c r="AH45" s="477"/>
      <c r="AL45" s="478" t="s">
        <v>227</v>
      </c>
      <c r="AM45" s="478" t="s">
        <v>251</v>
      </c>
      <c r="AN45" s="478"/>
      <c r="AO45" s="478"/>
      <c r="AP45" s="478"/>
      <c r="AQ45" s="478"/>
      <c r="AR45" s="478"/>
      <c r="AS45" s="478"/>
      <c r="AT45" s="478"/>
    </row>
    <row r="46" spans="1:48" ht="15.6" x14ac:dyDescent="0.3">
      <c r="B46" s="479" t="s">
        <v>227</v>
      </c>
      <c r="C46" s="505" t="s">
        <v>251</v>
      </c>
      <c r="D46" s="506"/>
      <c r="E46" s="506"/>
      <c r="F46" s="506"/>
      <c r="G46" s="507"/>
      <c r="H46" s="279"/>
      <c r="J46" s="482" t="s">
        <v>227</v>
      </c>
      <c r="K46" s="485" t="s">
        <v>251</v>
      </c>
      <c r="L46" s="486"/>
      <c r="M46" s="486"/>
      <c r="N46" s="487"/>
      <c r="Q46" s="494">
        <v>20</v>
      </c>
      <c r="R46" s="241" t="s">
        <v>242</v>
      </c>
      <c r="S46" s="242">
        <v>0.8</v>
      </c>
      <c r="T46" s="243">
        <v>1.7</v>
      </c>
      <c r="U46" s="243">
        <v>2.9</v>
      </c>
      <c r="V46" s="243">
        <v>2.1</v>
      </c>
      <c r="X46" s="477"/>
      <c r="Y46" s="477" t="s">
        <v>252</v>
      </c>
      <c r="Z46" s="477"/>
      <c r="AA46" s="477" t="s">
        <v>253</v>
      </c>
      <c r="AB46" s="477"/>
      <c r="AC46" s="477" t="s">
        <v>238</v>
      </c>
      <c r="AD46" s="477"/>
      <c r="AE46" s="477" t="s">
        <v>239</v>
      </c>
      <c r="AF46" s="477"/>
      <c r="AG46" s="477" t="s">
        <v>240</v>
      </c>
      <c r="AH46" s="477"/>
      <c r="AL46" s="478"/>
      <c r="AM46" s="478" t="s">
        <v>237</v>
      </c>
      <c r="AN46" s="478"/>
      <c r="AO46" s="478" t="s">
        <v>238</v>
      </c>
      <c r="AP46" s="478"/>
      <c r="AQ46" s="478" t="s">
        <v>239</v>
      </c>
      <c r="AR46" s="478"/>
      <c r="AS46" s="478" t="s">
        <v>240</v>
      </c>
      <c r="AT46" s="478"/>
    </row>
    <row r="47" spans="1:48" ht="18" x14ac:dyDescent="0.3">
      <c r="B47" s="480"/>
      <c r="C47" s="239" t="s">
        <v>252</v>
      </c>
      <c r="D47" s="239" t="s">
        <v>253</v>
      </c>
      <c r="E47" s="239" t="s">
        <v>238</v>
      </c>
      <c r="F47" s="239" t="s">
        <v>239</v>
      </c>
      <c r="G47" s="239" t="s">
        <v>240</v>
      </c>
      <c r="H47" s="279"/>
      <c r="J47" s="483"/>
      <c r="K47" s="240" t="s">
        <v>237</v>
      </c>
      <c r="L47" s="240" t="s">
        <v>238</v>
      </c>
      <c r="M47" s="240" t="s">
        <v>239</v>
      </c>
      <c r="N47" s="240" t="s">
        <v>240</v>
      </c>
      <c r="Q47" s="495"/>
      <c r="R47" s="247" t="s">
        <v>243</v>
      </c>
      <c r="S47" s="248">
        <v>-1.3</v>
      </c>
      <c r="T47" s="249">
        <v>-2.2000000000000002</v>
      </c>
      <c r="U47" s="249">
        <v>-2.8</v>
      </c>
      <c r="V47" s="249">
        <v>-2.9</v>
      </c>
      <c r="X47" s="477"/>
      <c r="Y47" s="250" t="s">
        <v>244</v>
      </c>
      <c r="Z47" s="250" t="s">
        <v>245</v>
      </c>
      <c r="AA47" s="250" t="s">
        <v>244</v>
      </c>
      <c r="AB47" s="250" t="s">
        <v>245</v>
      </c>
      <c r="AC47" s="250" t="s">
        <v>244</v>
      </c>
      <c r="AD47" s="250" t="s">
        <v>245</v>
      </c>
      <c r="AE47" s="250" t="s">
        <v>244</v>
      </c>
      <c r="AF47" s="250" t="s">
        <v>245</v>
      </c>
      <c r="AG47" s="250" t="s">
        <v>244</v>
      </c>
      <c r="AH47" s="250" t="s">
        <v>245</v>
      </c>
      <c r="AL47" s="478"/>
      <c r="AM47" s="251" t="s">
        <v>244</v>
      </c>
      <c r="AN47" s="251" t="s">
        <v>245</v>
      </c>
      <c r="AO47" s="251" t="s">
        <v>244</v>
      </c>
      <c r="AP47" s="251" t="s">
        <v>245</v>
      </c>
      <c r="AQ47" s="251" t="s">
        <v>244</v>
      </c>
      <c r="AR47" s="251" t="s">
        <v>245</v>
      </c>
      <c r="AS47" s="251" t="s">
        <v>244</v>
      </c>
      <c r="AT47" s="251" t="s">
        <v>245</v>
      </c>
    </row>
    <row r="48" spans="1:48" ht="15.6" x14ac:dyDescent="0.3">
      <c r="B48" s="236">
        <v>5</v>
      </c>
      <c r="C48" s="277">
        <f t="shared" ref="C48:C53" si="13">IF(Module_Area&lt;=1,Z48,IF(Module_Area&gt;=10,Y48,Z48-(Z48-Y48)*LOG10(Module_Area)))</f>
        <v>-2.1</v>
      </c>
      <c r="D48" s="277">
        <f t="shared" ref="D48:D53" si="14">IF(Module_Area&lt;=1,AB48,IF(Module_Area&gt;=10,AA48,AB48-(AB48-AA48)*LOG10(Module_Area)))</f>
        <v>-2.1</v>
      </c>
      <c r="E48" s="277">
        <f t="shared" ref="E48:E53" si="15">IF(Module_Area&lt;=1,AD48,IF(Module_Area&gt;=10,AC48,AD48-(AD48-AC48)*LOG10(Module_Area)))</f>
        <v>-1.8</v>
      </c>
      <c r="F48" s="277">
        <f t="shared" ref="F48:F53" si="16">IF(Module_Area&lt;=1,AF48,IF(Module_Area&gt;=10,AE48,AF48-(AF48-AE48)*LOG10(Module_Area)))</f>
        <v>-0.6</v>
      </c>
      <c r="G48" s="277">
        <f t="shared" ref="G48:G53" si="17">IF(Module_Area&lt;=1,AH48,IF(Module_Area&gt;=10,AG48,AH48-(AH48-AG48)*LOG10(Module_Area)))</f>
        <v>-0.5</v>
      </c>
      <c r="H48" s="282"/>
      <c r="I48" s="15"/>
      <c r="J48" s="237">
        <v>5</v>
      </c>
      <c r="K48" s="237">
        <f t="shared" ref="K48:K53" si="18">IF(Module_Area&lt;=1,AN48,IF(Module_Area&gt;=10,AM48,AN48-(AN48-AM48)*LOG10(Module_Area)))</f>
        <v>-1.6</v>
      </c>
      <c r="L48" s="237">
        <f t="shared" ref="L48:L53" si="19">IF(Module_Area&lt;=1,AP48,IF(Module_Area&gt;=10,AO48,AP48-(AP48-AO48)*LOG10(Module_Area)))</f>
        <v>-1.3</v>
      </c>
      <c r="M48" s="237">
        <f t="shared" ref="M48:M53" si="20">IF(Module_Area&lt;=1,AR48,IF(Module_Area&gt;=10,AQ48,AR48-(AR48-AQ48)*LOG10(Module_Area)))</f>
        <v>-0.7</v>
      </c>
      <c r="N48" s="237">
        <f t="shared" ref="N48:N53" si="21">IF(Module_Area&lt;=1,AT48,IF(Module_Area&gt;=10,AS48,AT48-(AT48-AS48)*LOG10(Module_Area)))</f>
        <v>-0.6</v>
      </c>
      <c r="Q48" s="495"/>
      <c r="R48" s="254" t="s">
        <v>246</v>
      </c>
      <c r="S48" s="255">
        <v>-1.4</v>
      </c>
      <c r="T48" s="256">
        <v>-1.6</v>
      </c>
      <c r="U48" s="256">
        <v>-2.9</v>
      </c>
      <c r="V48" s="256">
        <v>-3</v>
      </c>
      <c r="X48" s="244">
        <v>5</v>
      </c>
      <c r="Y48" s="244">
        <v>-2.1</v>
      </c>
      <c r="Z48" s="244">
        <v>-2.6</v>
      </c>
      <c r="AA48" s="244">
        <v>-2.1</v>
      </c>
      <c r="AB48" s="244">
        <v>-2.4</v>
      </c>
      <c r="AC48" s="244">
        <v>-1.8</v>
      </c>
      <c r="AD48" s="244">
        <v>-2</v>
      </c>
      <c r="AE48" s="244">
        <v>-0.6</v>
      </c>
      <c r="AF48" s="244">
        <v>-1.2</v>
      </c>
      <c r="AG48" s="266">
        <v>-0.5</v>
      </c>
      <c r="AH48" s="267">
        <v>-0.5</v>
      </c>
      <c r="AL48" s="245">
        <v>5</v>
      </c>
      <c r="AM48" s="245">
        <v>-1.6</v>
      </c>
      <c r="AN48" s="245">
        <v>-2.2000000000000002</v>
      </c>
      <c r="AO48" s="245">
        <v>-1.3</v>
      </c>
      <c r="AP48" s="245">
        <v>-2</v>
      </c>
      <c r="AQ48" s="245">
        <v>-0.7</v>
      </c>
      <c r="AR48" s="245">
        <v>-1.2</v>
      </c>
      <c r="AS48" s="245">
        <v>-0.6</v>
      </c>
      <c r="AT48" s="245">
        <v>-0.6</v>
      </c>
    </row>
    <row r="49" spans="1:46" ht="15.6" x14ac:dyDescent="0.3">
      <c r="B49" s="236">
        <v>15</v>
      </c>
      <c r="C49" s="277">
        <f t="shared" si="13"/>
        <v>-2.4</v>
      </c>
      <c r="D49" s="236">
        <f t="shared" si="14"/>
        <v>-1.6</v>
      </c>
      <c r="E49" s="236">
        <f t="shared" si="15"/>
        <v>-1.9</v>
      </c>
      <c r="F49" s="236">
        <f t="shared" si="16"/>
        <v>-0.8</v>
      </c>
      <c r="G49" s="277">
        <f t="shared" si="17"/>
        <v>-0.7</v>
      </c>
      <c r="H49" s="282"/>
      <c r="I49" s="15"/>
      <c r="J49" s="237">
        <v>15</v>
      </c>
      <c r="K49" s="237">
        <f t="shared" si="18"/>
        <v>-1.3</v>
      </c>
      <c r="L49" s="237">
        <f t="shared" si="19"/>
        <v>-1.3</v>
      </c>
      <c r="M49" s="237">
        <f t="shared" si="20"/>
        <v>-0.6</v>
      </c>
      <c r="N49" s="237">
        <f t="shared" si="21"/>
        <v>-0.5</v>
      </c>
      <c r="Q49" s="496"/>
      <c r="R49" s="263" t="s">
        <v>247</v>
      </c>
      <c r="S49" s="264">
        <f>S47+$R$59*(S48-S47)</f>
        <v>-1.32</v>
      </c>
      <c r="T49" s="265">
        <f>T47+$R$59*(T48-T47)</f>
        <v>-2.08</v>
      </c>
      <c r="U49" s="265">
        <f>U47+$R$59*(U48-U47)</f>
        <v>-2.82</v>
      </c>
      <c r="V49" s="265">
        <f>V47+$R$59*(V48-V47)</f>
        <v>-2.92</v>
      </c>
      <c r="X49" s="244">
        <v>15</v>
      </c>
      <c r="Y49" s="244">
        <v>-2.4</v>
      </c>
      <c r="Z49" s="244">
        <v>-2.9</v>
      </c>
      <c r="AA49" s="244">
        <v>-1.6</v>
      </c>
      <c r="AB49" s="244">
        <v>-2.4</v>
      </c>
      <c r="AC49" s="244">
        <v>-1.9</v>
      </c>
      <c r="AD49" s="244">
        <v>-2.5</v>
      </c>
      <c r="AE49" s="244">
        <v>-0.8</v>
      </c>
      <c r="AF49" s="244">
        <v>-1.2</v>
      </c>
      <c r="AG49" s="244">
        <v>-0.7</v>
      </c>
      <c r="AH49" s="244">
        <v>-1.2</v>
      </c>
      <c r="AL49" s="245">
        <v>15</v>
      </c>
      <c r="AM49" s="245">
        <v>-1.3</v>
      </c>
      <c r="AN49" s="245">
        <v>-2</v>
      </c>
      <c r="AO49" s="245">
        <v>-1.3</v>
      </c>
      <c r="AP49" s="245">
        <v>-2</v>
      </c>
      <c r="AQ49" s="245">
        <v>-0.6</v>
      </c>
      <c r="AR49" s="245">
        <v>-1.2</v>
      </c>
      <c r="AS49" s="245">
        <v>-0.5</v>
      </c>
      <c r="AT49" s="245">
        <v>-0.5</v>
      </c>
    </row>
    <row r="50" spans="1:46" ht="15.6" x14ac:dyDescent="0.3">
      <c r="B50" s="236">
        <v>30</v>
      </c>
      <c r="C50" s="277">
        <f t="shared" si="13"/>
        <v>-2.1</v>
      </c>
      <c r="D50" s="236">
        <f t="shared" si="14"/>
        <v>-1.3</v>
      </c>
      <c r="E50" s="236">
        <f t="shared" si="15"/>
        <v>-1.5</v>
      </c>
      <c r="F50" s="236">
        <f t="shared" si="16"/>
        <v>-1</v>
      </c>
      <c r="G50" s="277">
        <f t="shared" si="17"/>
        <v>-0.8</v>
      </c>
      <c r="H50" s="282"/>
      <c r="I50" s="15"/>
      <c r="J50" s="237">
        <v>30</v>
      </c>
      <c r="K50" s="237">
        <f t="shared" si="18"/>
        <v>-1.1000000000000001</v>
      </c>
      <c r="L50" s="237">
        <f t="shared" si="19"/>
        <v>-1.4</v>
      </c>
      <c r="M50" s="237">
        <f t="shared" si="20"/>
        <v>-0.8</v>
      </c>
      <c r="N50" s="237">
        <f t="shared" si="21"/>
        <v>-0.5</v>
      </c>
      <c r="Q50" s="494">
        <v>25</v>
      </c>
      <c r="R50" s="241" t="s">
        <v>242</v>
      </c>
      <c r="S50" s="242">
        <v>1</v>
      </c>
      <c r="T50" s="243">
        <v>2</v>
      </c>
      <c r="U50" s="243">
        <v>3.1</v>
      </c>
      <c r="V50" s="243">
        <v>2.2999999999999998</v>
      </c>
      <c r="X50" s="244">
        <v>30</v>
      </c>
      <c r="Y50" s="244">
        <v>-2.1</v>
      </c>
      <c r="Z50" s="244">
        <v>-2.9</v>
      </c>
      <c r="AA50" s="244">
        <v>-1.3</v>
      </c>
      <c r="AB50" s="244">
        <v>-2</v>
      </c>
      <c r="AC50" s="244">
        <v>-1.5</v>
      </c>
      <c r="AD50" s="244">
        <v>-2</v>
      </c>
      <c r="AE50" s="244">
        <v>-1</v>
      </c>
      <c r="AF50" s="244">
        <v>-1.3</v>
      </c>
      <c r="AG50" s="244">
        <v>-0.8</v>
      </c>
      <c r="AH50" s="244">
        <v>-1.2</v>
      </c>
      <c r="AL50" s="245">
        <v>30</v>
      </c>
      <c r="AM50" s="245">
        <v>-1.1000000000000001</v>
      </c>
      <c r="AN50" s="245">
        <v>-1.5</v>
      </c>
      <c r="AO50" s="245">
        <v>-1.4</v>
      </c>
      <c r="AP50" s="245">
        <v>-2</v>
      </c>
      <c r="AQ50" s="245">
        <v>-0.8</v>
      </c>
      <c r="AR50" s="245">
        <v>-1.2</v>
      </c>
      <c r="AS50" s="245">
        <v>-0.5</v>
      </c>
      <c r="AT50" s="245">
        <v>-0.5</v>
      </c>
    </row>
    <row r="51" spans="1:46" ht="15.6" x14ac:dyDescent="0.3">
      <c r="B51" s="236">
        <v>45</v>
      </c>
      <c r="C51" s="277">
        <f t="shared" si="13"/>
        <v>-1.5</v>
      </c>
      <c r="D51" s="236">
        <f t="shared" si="14"/>
        <v>-1.3</v>
      </c>
      <c r="E51" s="236">
        <f t="shared" si="15"/>
        <v>-1.4</v>
      </c>
      <c r="F51" s="236">
        <f t="shared" si="16"/>
        <v>-1</v>
      </c>
      <c r="G51" s="277">
        <f t="shared" si="17"/>
        <v>-0.9</v>
      </c>
      <c r="H51" s="282"/>
      <c r="I51" s="15"/>
      <c r="J51" s="237">
        <v>45</v>
      </c>
      <c r="K51" s="237">
        <f t="shared" si="18"/>
        <v>-1.1000000000000001</v>
      </c>
      <c r="L51" s="237">
        <f t="shared" si="19"/>
        <v>-1.4</v>
      </c>
      <c r="M51" s="237">
        <f t="shared" si="20"/>
        <v>-0.9</v>
      </c>
      <c r="N51" s="237">
        <f t="shared" si="21"/>
        <v>-0.5</v>
      </c>
      <c r="Q51" s="495"/>
      <c r="R51" s="247" t="s">
        <v>243</v>
      </c>
      <c r="S51" s="248">
        <f>+- 1.6</f>
        <v>-1.6</v>
      </c>
      <c r="T51" s="249">
        <v>-2.6</v>
      </c>
      <c r="U51" s="249">
        <v>-3.2</v>
      </c>
      <c r="V51" s="249">
        <v>-3.2</v>
      </c>
      <c r="X51" s="244">
        <v>45</v>
      </c>
      <c r="Y51" s="244">
        <v>-1.5</v>
      </c>
      <c r="Z51" s="244">
        <v>-2.4</v>
      </c>
      <c r="AA51" s="244">
        <v>-1.3</v>
      </c>
      <c r="AB51" s="244">
        <v>-2</v>
      </c>
      <c r="AC51" s="244">
        <v>-1.4</v>
      </c>
      <c r="AD51" s="244">
        <v>-2</v>
      </c>
      <c r="AE51" s="244">
        <v>-1</v>
      </c>
      <c r="AF51" s="244">
        <v>-1.3</v>
      </c>
      <c r="AG51" s="244">
        <v>-0.9</v>
      </c>
      <c r="AH51" s="244">
        <v>-1.2</v>
      </c>
      <c r="AL51" s="245">
        <v>45</v>
      </c>
      <c r="AM51" s="245">
        <v>-1.1000000000000001</v>
      </c>
      <c r="AN51" s="245">
        <v>-1.5</v>
      </c>
      <c r="AO51" s="245">
        <v>-1.4</v>
      </c>
      <c r="AP51" s="245">
        <v>-2</v>
      </c>
      <c r="AQ51" s="245">
        <v>-0.9</v>
      </c>
      <c r="AR51" s="245">
        <v>-1.2</v>
      </c>
      <c r="AS51" s="245">
        <v>-0.5</v>
      </c>
      <c r="AT51" s="245">
        <v>-0.5</v>
      </c>
    </row>
    <row r="52" spans="1:46" ht="15.6" x14ac:dyDescent="0.3">
      <c r="B52" s="236">
        <v>60</v>
      </c>
      <c r="C52" s="277">
        <f t="shared" si="13"/>
        <v>-1.2</v>
      </c>
      <c r="D52" s="236">
        <f t="shared" si="14"/>
        <v>-1.2</v>
      </c>
      <c r="E52" s="236">
        <f t="shared" si="15"/>
        <v>-1.2</v>
      </c>
      <c r="F52" s="236">
        <f t="shared" si="16"/>
        <v>-1</v>
      </c>
      <c r="G52" s="277">
        <f t="shared" si="17"/>
        <v>-0.7</v>
      </c>
      <c r="H52" s="282"/>
      <c r="I52" s="15"/>
      <c r="J52" s="237">
        <v>60</v>
      </c>
      <c r="K52" s="237">
        <f t="shared" si="18"/>
        <v>-1.1000000000000001</v>
      </c>
      <c r="L52" s="237">
        <f t="shared" si="19"/>
        <v>-1.2</v>
      </c>
      <c r="M52" s="237">
        <f t="shared" si="20"/>
        <v>-0.8</v>
      </c>
      <c r="N52" s="237">
        <f t="shared" si="21"/>
        <v>-0.5</v>
      </c>
      <c r="Q52" s="495"/>
      <c r="R52" s="254" t="s">
        <v>246</v>
      </c>
      <c r="S52" s="255">
        <v>-1.4</v>
      </c>
      <c r="T52" s="256">
        <f>+- 1.5</f>
        <v>-1.5</v>
      </c>
      <c r="U52" s="256">
        <v>-2.5</v>
      </c>
      <c r="V52" s="256">
        <v>-2.8</v>
      </c>
      <c r="X52" s="244">
        <v>60</v>
      </c>
      <c r="Y52" s="244">
        <v>-1.2</v>
      </c>
      <c r="Z52" s="244">
        <v>-2</v>
      </c>
      <c r="AA52" s="244">
        <v>-1.2</v>
      </c>
      <c r="AB52" s="244">
        <v>-2</v>
      </c>
      <c r="AC52" s="244">
        <v>-1.2</v>
      </c>
      <c r="AD52" s="244">
        <v>-2</v>
      </c>
      <c r="AE52" s="244">
        <v>-1</v>
      </c>
      <c r="AF52" s="244">
        <v>-1.3</v>
      </c>
      <c r="AG52" s="244">
        <v>-0.7</v>
      </c>
      <c r="AH52" s="244">
        <v>-1.2</v>
      </c>
      <c r="AL52" s="245">
        <v>60</v>
      </c>
      <c r="AM52" s="245">
        <v>-1.1000000000000001</v>
      </c>
      <c r="AN52" s="245">
        <v>-1.5</v>
      </c>
      <c r="AO52" s="245">
        <v>-1.2</v>
      </c>
      <c r="AP52" s="245">
        <v>-2</v>
      </c>
      <c r="AQ52" s="245">
        <v>-0.8</v>
      </c>
      <c r="AR52" s="245">
        <v>-1</v>
      </c>
      <c r="AS52" s="245">
        <v>-0.5</v>
      </c>
      <c r="AT52" s="245">
        <v>-0.5</v>
      </c>
    </row>
    <row r="53" spans="1:46" ht="15.6" x14ac:dyDescent="0.3">
      <c r="B53" s="236">
        <v>75</v>
      </c>
      <c r="C53" s="277">
        <f t="shared" si="13"/>
        <v>-1.2</v>
      </c>
      <c r="D53" s="236">
        <f t="shared" si="14"/>
        <v>-1.2</v>
      </c>
      <c r="E53" s="236">
        <f t="shared" si="15"/>
        <v>-1.2</v>
      </c>
      <c r="F53" s="236">
        <f t="shared" si="16"/>
        <v>-1</v>
      </c>
      <c r="G53" s="277">
        <f t="shared" si="17"/>
        <v>-0.5</v>
      </c>
      <c r="H53" s="282"/>
      <c r="I53" s="15"/>
      <c r="J53" s="237">
        <v>75</v>
      </c>
      <c r="K53" s="237">
        <f t="shared" si="18"/>
        <v>-1.1000000000000001</v>
      </c>
      <c r="L53" s="237">
        <f t="shared" si="19"/>
        <v>-1.2</v>
      </c>
      <c r="M53" s="237">
        <f t="shared" si="20"/>
        <v>-0.8</v>
      </c>
      <c r="N53" s="237">
        <f t="shared" si="21"/>
        <v>-0.5</v>
      </c>
      <c r="Q53" s="496"/>
      <c r="R53" s="263" t="s">
        <v>247</v>
      </c>
      <c r="S53" s="264">
        <f>S51+$R$59*(S52-S51)</f>
        <v>-1.56</v>
      </c>
      <c r="T53" s="265">
        <f>T51+$R$59*(T52-T51)</f>
        <v>-2.38</v>
      </c>
      <c r="U53" s="265">
        <f>U51+$R$59*(U52-U51)</f>
        <v>-3.06</v>
      </c>
      <c r="V53" s="265">
        <f>V51+$R$59*(V52-V51)</f>
        <v>-3.12</v>
      </c>
      <c r="X53" s="244">
        <v>75</v>
      </c>
      <c r="Y53" s="244">
        <v>-1.2</v>
      </c>
      <c r="Z53" s="244">
        <v>-2</v>
      </c>
      <c r="AA53" s="244">
        <v>-1.2</v>
      </c>
      <c r="AB53" s="244">
        <v>-2</v>
      </c>
      <c r="AC53" s="244">
        <v>-1.2</v>
      </c>
      <c r="AD53" s="244">
        <v>-2</v>
      </c>
      <c r="AE53" s="244">
        <v>-1</v>
      </c>
      <c r="AF53" s="244">
        <v>-1.3</v>
      </c>
      <c r="AG53" s="266">
        <v>-0.5</v>
      </c>
      <c r="AH53" s="267">
        <v>-0.5</v>
      </c>
      <c r="AL53" s="245">
        <v>75</v>
      </c>
      <c r="AM53" s="245">
        <v>-1.1000000000000001</v>
      </c>
      <c r="AN53" s="245">
        <v>-1.5</v>
      </c>
      <c r="AO53" s="245">
        <v>-1.2</v>
      </c>
      <c r="AP53" s="245">
        <v>-2</v>
      </c>
      <c r="AQ53" s="245">
        <v>-0.8</v>
      </c>
      <c r="AR53" s="245">
        <v>-1</v>
      </c>
      <c r="AS53" s="245">
        <v>-0.5</v>
      </c>
      <c r="AT53" s="245">
        <v>-0.5</v>
      </c>
    </row>
    <row r="54" spans="1:46" ht="15.6" x14ac:dyDescent="0.3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Q54" s="476">
        <v>30</v>
      </c>
      <c r="R54" s="241" t="s">
        <v>242</v>
      </c>
      <c r="S54" s="242">
        <v>1.2</v>
      </c>
      <c r="T54" s="243">
        <v>2.2000000000000002</v>
      </c>
      <c r="U54" s="243">
        <v>3.2</v>
      </c>
      <c r="V54" s="243">
        <v>2.4</v>
      </c>
    </row>
    <row r="55" spans="1:46" ht="15.6" x14ac:dyDescent="0.3">
      <c r="A55" t="s">
        <v>249</v>
      </c>
      <c r="B55" s="280">
        <f>pente</f>
        <v>15</v>
      </c>
      <c r="C55" s="283">
        <f>IF($B$42&lt;=$B$31, C48,IF(AND($B$42&gt;$B$31,$B$42&lt;=$B$33),C48+(($B$42-$B$31)*(C49-C48)/($B$33-$B$31)),IF(AND($B$42&gt;$B$33,$B$42&lt;=$B$35),C49+(($B$42-$B$33)*(C50-C49)/($B$35-$B$33)),IF(AND($B$42&gt;$B$35,$B$42&lt;=$B$37),C50+(($B$42-$B$35)*(C51-C50)/($B$37-$B$35)),IF(AND($B$42&gt;$B$37,$B$42&lt;=$B$39),C51+(($B$42-$B$37)*(C52-C51)/($B$39-$B$37)),IF(AND($B$42&gt;$B$39,$B$42&lt;=$B$40),C52+(($B$42-$B$39)*(C53-C52)/($B$40-$B$39)),0))))))</f>
        <v>-2.4</v>
      </c>
      <c r="D55" s="284">
        <f>IF($B$42&lt;=$B$31, D48,IF(AND($B$42&gt;$B$31,$B$42&lt;=$B$33),D48+(($B$42-$B$31)*(D49-D48)/($B$33-$B$31)),IF(AND($B$42&gt;$B$33,$B$42&lt;=$B$35),D49+(($B$42-$B$33)*(D50-D49)/($B$35-$B$33)),IF(AND($B$42&gt;$B$35,$B$42&lt;=$B$37),D50+(($B$42-$B$35)*(D51-D50)/($B$37-$B$35)),IF(AND($B$42&gt;$B$37,$B$42&lt;=$B$39),D51+(($B$42-$B$37)*(D52-D51)/($B$39-$B$37)),IF(AND($B$42&gt;$B$39,$B$42&lt;=$B$40),D52+(($B$42-$B$39)*(D53-D52)/($B$40-$B$39)),0))))))</f>
        <v>-1.6</v>
      </c>
      <c r="E55" s="284">
        <f>IF($B$42&lt;=$B$31, E48,IF(AND($B$42&gt;$B$31,$B$42&lt;=$B$33),E48+(($B$42-$B$31)*(E49-E48)/($B$33-$B$31)),IF(AND($B$42&gt;$B$33,$B$42&lt;=$B$35),E49+(($B$42-$B$33)*(E50-E49)/($B$35-$B$33)),IF(AND($B$42&gt;$B$35,$B$42&lt;=$B$37),E50+(($B$42-$B$35)*(E51-E50)/($B$37-$B$35)),IF(AND($B$42&gt;$B$37,$B$42&lt;=$B$39),E51+(($B$42-$B$37)*(E52-E51)/($B$39-$B$37)),IF(AND($B$42&gt;$B$39,$B$42&lt;=$B$40),E52+(($B$42-$B$39)*(E53-E52)/($B$40-$B$39)),0))))))</f>
        <v>-1.9</v>
      </c>
      <c r="F55" s="284">
        <f>IF($B$42&lt;=$B$31, F48,IF(AND($B$42&gt;$B$31,$B$42&lt;=$B$33),F48+(($B$42-$B$31)*(F49-F48)/($B$33-$B$31)),IF(AND($B$42&gt;$B$33,$B$42&lt;=$B$35),F49+(($B$42-$B$33)*(F50-F49)/($B$35-$B$33)),IF(AND($B$42&gt;$B$35,$B$42&lt;=$B$37),F50+(($B$42-$B$35)*(F51-F50)/($B$37-$B$35)),IF(AND($B$42&gt;$B$37,$B$42&lt;=$B$39),F51+(($B$42-$B$37)*(F52-F51)/($B$39-$B$37)),IF(AND($B$42&gt;$B$39,$B$42&lt;=$B$40),F52+(($B$42-$B$39)*(F53-F52)/($B$40-$B$39)),0))))))</f>
        <v>-0.8</v>
      </c>
      <c r="G55" s="284">
        <f>IF($B$42&lt;=$B$31, G48,IF(AND($B$42&gt;$B$31,$B$42&lt;=$B$33),G48+(($B$42-$B$31)*(G49-G48)/($B$33-$B$31)),IF(AND($B$42&gt;$B$33,$B$42&lt;=$B$35),G49+(($B$42-$B$33)*(G50-G49)/($B$35-$B$33)),IF(AND($B$42&gt;$B$35,$B$42&lt;=$B$37),G50+(($B$42-$B$35)*(G51-G50)/($B$37-$B$35)),IF(AND($B$42&gt;$B$37,$B$42&lt;=$B$39),G51+(($B$42-$B$37)*(G52-G51)/($B$39-$B$37)),IF(AND($B$42&gt;$B$39,$B$42&lt;=$B$40),G52+(($B$42-$B$39)*(G53-G52)/($B$40-$B$39)),0))))))</f>
        <v>-0.7</v>
      </c>
      <c r="H55" s="15"/>
      <c r="I55" s="15" t="s">
        <v>249</v>
      </c>
      <c r="J55" s="285">
        <f>pente</f>
        <v>15</v>
      </c>
      <c r="K55" s="378">
        <f>IF($B$42&lt;=$B$31, K48,IF(AND($B$42&gt;$B$31,$B$42&lt;=$B$33),K48+(($B$42-$B$31)*(K49-K48)/($B$33-$B$31)),IF(AND($B$42&gt;$B$33,$B$42&lt;=$B$35),K49+(($B$42-$B$33)*(K50-K49)/($B$35-$B$33)),IF(AND($B$42&gt;$B$35,$B$42&lt;=$B$37),K50+(($B$42-$B$35)*(K51-K50)/($B$37-$B$35)),IF(AND($B$42&gt;$B$37,$B$42&lt;=$B$39),K51+(($B$42-$B$37)*(K52-K51)/($B$39-$B$37)),IF(AND($B$42&gt;$B$39,$B$42&lt;=$B$40),K52+(($B$42-$B$39)*(K53-K52)/($B$40-$B$39)),0))))))</f>
        <v>-1.3</v>
      </c>
      <c r="L55" s="378">
        <f>IF($B$42&lt;=$B$31, L48,IF(AND($B$42&gt;$B$31,$B$42&lt;=$B$33),L48+(($B$42-$B$31)*(L49-L48)/($B$33-$B$31)),IF(AND($B$42&gt;$B$33,$B$42&lt;=$B$35),L49+(($B$42-$B$33)*(L50-L49)/($B$35-$B$33)),IF(AND($B$42&gt;$B$35,$B$42&lt;=$B$37),L50+(($B$42-$B$35)*(L51-L50)/($B$37-$B$35)),IF(AND($B$42&gt;$B$37,$B$42&lt;=$B$39),L51+(($B$42-$B$37)*(L52-L51)/($B$39-$B$37)),IF(AND($B$42&gt;$B$39,$B$42&lt;=$B$40),L52+(($B$42-$B$39)*(L53-L52)/($B$40-$B$39)),0))))))</f>
        <v>-1.3</v>
      </c>
      <c r="M55" s="378">
        <f>IF($B$42&lt;=$B$31, M48,IF(AND($B$42&gt;$B$31,$B$42&lt;=$B$33),M48+(($B$42-$B$31)*(M49-M48)/($B$33-$B$31)),IF(AND($B$42&gt;$B$33,$B$42&lt;=$B$35),M49+(($B$42-$B$33)*(M50-M49)/($B$35-$B$33)),IF(AND($B$42&gt;$B$35,$B$42&lt;=$B$37),M50+(($B$42-$B$35)*(M51-M50)/($B$37-$B$35)),IF(AND($B$42&gt;$B$37,$B$42&lt;=$B$39),M51+(($B$42-$B$37)*(M52-M51)/($B$39-$B$37)),IF(AND($B$42&gt;$B$39,$B$42&lt;=$B$40),M52+(($B$42-$B$39)*(M53-M52)/($B$40-$B$39)),0))))))</f>
        <v>-0.6</v>
      </c>
      <c r="N55" s="378">
        <f>IF($B$42&lt;=$B$31, N48,IF(AND($B$42&gt;$B$31,$B$42&lt;=$B$33),N48+(($B$42-$B$31)*(N49-N48)/($B$33-$B$31)),IF(AND($B$42&gt;$B$33,$B$42&lt;=$B$35),N49+(($B$42-$B$33)*(N50-N49)/($B$35-$B$33)),IF(AND($B$42&gt;$B$35,$B$42&lt;=$B$37),N50+(($B$42-$B$35)*(N51-N50)/($B$37-$B$35)),IF(AND($B$42&gt;$B$37,$B$42&lt;=$B$39),N51+(($B$42-$B$37)*(N52-N51)/($B$39-$B$37)),IF(AND($B$42&gt;$B$39,$B$42&lt;=$B$40),N52+(($B$42-$B$39)*(N53-N52)/($B$40-$B$39)),0))))))</f>
        <v>-0.5</v>
      </c>
      <c r="Q55" s="476"/>
      <c r="R55" s="247" t="s">
        <v>243</v>
      </c>
      <c r="S55" s="248">
        <v>-1.8</v>
      </c>
      <c r="T55" s="249">
        <v>-3</v>
      </c>
      <c r="U55" s="249">
        <v>-3.8</v>
      </c>
      <c r="V55" s="249">
        <v>-3.6</v>
      </c>
    </row>
    <row r="56" spans="1:46" x14ac:dyDescent="0.3">
      <c r="Q56" s="476"/>
      <c r="R56" s="254" t="s">
        <v>246</v>
      </c>
      <c r="S56" s="255">
        <v>-1.4</v>
      </c>
      <c r="T56" s="256">
        <v>-1.5</v>
      </c>
      <c r="U56" s="256">
        <v>-2.2000000000000002</v>
      </c>
      <c r="V56" s="256">
        <v>-2.7</v>
      </c>
    </row>
    <row r="57" spans="1:46" ht="15.6" x14ac:dyDescent="0.3">
      <c r="F57" s="56"/>
      <c r="G57" s="56"/>
      <c r="I57" s="286"/>
      <c r="Q57" s="476"/>
      <c r="R57" s="263" t="s">
        <v>247</v>
      </c>
      <c r="S57" s="264">
        <f>S55+$R$59*(S56-S55)</f>
        <v>-1.72</v>
      </c>
      <c r="T57" s="265">
        <f>T55+$R$59*(T56-T55)</f>
        <v>-2.7</v>
      </c>
      <c r="U57" s="265">
        <f>U55+$R$59*(U56-U55)</f>
        <v>-3.48</v>
      </c>
      <c r="V57" s="265">
        <f>V55+$R$59*(V56-V55)</f>
        <v>-3.42</v>
      </c>
    </row>
    <row r="58" spans="1:46" x14ac:dyDescent="0.3">
      <c r="D58" s="235"/>
      <c r="F58" s="15"/>
      <c r="G58" s="15"/>
    </row>
    <row r="59" spans="1:46" ht="15.6" x14ac:dyDescent="0.3">
      <c r="D59" s="15"/>
      <c r="F59" s="15"/>
      <c r="G59" s="15"/>
      <c r="P59" s="155" t="s">
        <v>254</v>
      </c>
      <c r="Q59" s="508">
        <v>20</v>
      </c>
      <c r="R59" s="510">
        <f>S9/(S4*S3)</f>
        <v>0.2</v>
      </c>
      <c r="S59" s="281">
        <f>IF(AND($Q$59&lt;$Q$34,$Q$59&gt;=$Q$30),S30+($Q$59-$Q$30)*(S34-S30)/($Q$34-$Q$30),IF(AND($Q$59&lt;$Q$38,$Q$59&gt;=$Q$34),S34+($Q$59-$Q$34)*(S38-S34)/($Q$38-$Q$34),IF(AND($Q$59&lt;$Q$42,$Q$59&gt;=$Q$38),S38+($Q$59-$Q$38)*(S42-S38)/($Q$42-$Q$38),IF(AND($Q$59&lt;$Q$46,$Q$59&gt;=$Q$42),S42+($Q$59-$Q$42)*(S46-S42)/($Q$46-$Q$42),IF(AND($Q$59&lt;$Q$50,$Q$59&gt;=$Q$46),S46+($Q$59-$Q$46)*(S50-S46)/($Q$50-$Q$46),IF(AND($Q$59&lt;$Q$54,$Q$59&gt;=$Q$50),S50+($Q$59-$Q$50)*(S54-S50)/($Q$54-$Q$50),0))))))</f>
        <v>0.8</v>
      </c>
      <c r="T59" s="281">
        <f>IF(AND($Q$59&lt;$Q$34,$Q$59&gt;=$Q$30),T30+($Q$59-$Q$30)*(T34-T30)/($Q$34-$Q$30),IF(AND($Q$59&lt;$Q$38,$Q$59&gt;=$Q$34),T34+($Q$59-$Q$34)*(T38-T34)/($Q$38-$Q$34),IF(AND($Q$59&lt;$Q$42,$Q$59&gt;=$Q$38),T38+($Q$59-$Q$38)*(T42-T38)/($Q$42-$Q$38),IF(AND($Q$59&lt;$Q$46,$Q$59&gt;=$Q$42),T42+($Q$59-$Q$42)*(T46-T42)/($Q$46-$Q$42),IF(AND($Q$59&lt;$Q$50,$Q$59&gt;=$Q$46),T46+($Q$59-$Q$46)*(T50-T46)/($Q$50-$Q$46),IF(AND($Q$59&lt;$Q$54,$Q$59&gt;=$Q$50),T50+($Q$59-$Q$50)*(T54-T50)/($Q$54-$Q$50),0))))))</f>
        <v>1.7</v>
      </c>
      <c r="U59" s="281">
        <f>IF(AND($Q$59&lt;$Q$34,$Q$59&gt;=$Q$30),U30+($Q$59-$Q$30)*(U34-U30)/($Q$34-$Q$30),IF(AND($Q$59&lt;$Q$38,$Q$59&gt;=$Q$34),U34+($Q$59-$Q$34)*(U38-U34)/($Q$38-$Q$34),IF(AND($Q$59&lt;$Q$42,$Q$59&gt;=$Q$38),U38+($Q$59-$Q$38)*(U42-U38)/($Q$42-$Q$38),IF(AND($Q$59&lt;$Q$46,$Q$59&gt;=$Q$42),U42+($Q$59-$Q$42)*(U46-U42)/($Q$46-$Q$42),IF(AND($Q$59&lt;$Q$50,$Q$59&gt;=$Q$46),U46+($Q$59-$Q$46)*(U50-U46)/($Q$50-$Q$46),IF(AND($Q$59&lt;$Q$54,$Q$59&gt;=$Q$50),U50+($Q$59-$Q$50)*(U54-U50)/($Q$54-$Q$50),0))))))</f>
        <v>2.9</v>
      </c>
      <c r="V59" s="281">
        <f>IF(AND($Q$59&lt;$Q$34,$Q$59&gt;=$Q$30),V30+($Q$59-$Q$30)*(V34-V30)/($Q$34-$Q$30),IF(AND($Q$59&lt;$Q$38,$Q$59&gt;=$Q$34),V34+($Q$59-$Q$34)*(V38-V34)/($Q$38-$Q$34),IF(AND($Q$59&lt;$Q$42,$Q$59&gt;=$Q$38),V38+($Q$59-$Q$38)*(V42-V38)/($Q$42-$Q$38),IF(AND($Q$59&lt;$Q$46,$Q$59&gt;=$Q$42),V42+($Q$59-$Q$42)*(V46-V42)/($Q$46-$Q$42),IF(AND($Q$59&lt;$Q$50,$Q$59&gt;=$Q$46),V46+($Q$59-$Q$46)*(V50-V46)/($Q$50-$Q$46),IF(AND($Q$59&lt;$Q$54,$Q$59&gt;=$Q$50),V50+($Q$59-$Q$50)*(V54-V50)/($Q$54-$Q$50),0))))))</f>
        <v>2.1</v>
      </c>
    </row>
    <row r="60" spans="1:46" ht="15.6" x14ac:dyDescent="0.3">
      <c r="D60" s="15"/>
      <c r="F60" s="15"/>
      <c r="G60" s="15"/>
      <c r="P60" s="155" t="s">
        <v>255</v>
      </c>
      <c r="Q60" s="509"/>
      <c r="R60" s="511"/>
      <c r="S60" s="281">
        <f>IF(AND($Q$59&lt;$Q$34,$Q$59&gt;=$Q$30),S33+($Q$59-$Q$30)*(S37-S33)/($Q$34-$Q$30),IF(AND($Q$59&lt;$Q$38,$Q$59&gt;=$Q$34),S37+($Q$59-$Q$34)*(S41-S37)/($Q$38-$Q$34),IF(AND($Q$59&lt;$Q$42,$Q$59&gt;=$Q$38),S41+($Q$59-$Q$38)*(S45-S41)/($Q$42-$Q$38),IF(AND($Q$59&lt;$Q$46,$Q$59&gt;=$Q$42),S45+($Q$59-$Q$42)*(S49-S45)/($Q$46-$Q$42),IF(AND($Q$59&lt;$Q$50,$Q$59&gt;=$Q$46),S49+($Q$59-$Q$46)*(S53-S49)/($Q$50-$Q$46),IF(AND($Q$59&lt;$Q$54,$Q$59&gt;=$Q$50),S53+($Q$59-$Q$50)*(S57-S53)/($Q$54-$Q$50),0))))))</f>
        <v>-1.32</v>
      </c>
      <c r="T60" s="281">
        <f>IF(AND($Q$59&lt;$Q$34,$Q$59&gt;=$Q$30),T33+($Q$59-$Q$30)*(T37-T33)/($Q$34-$Q$30),IF(AND($Q$59&lt;$Q$38,$Q$59&gt;=$Q$34),T37+($Q$59-$Q$34)*(T41-T37)/($Q$38-$Q$34),IF(AND($Q$59&lt;$Q$42,$Q$59&gt;=$Q$38),T41+($Q$59-$Q$38)*(T45-T41)/($Q$42-$Q$38),IF(AND($Q$59&lt;$Q$46,$Q$59&gt;=$Q$42),T45+($Q$59-$Q$42)*(T49-T45)/($Q$46-$Q$42),IF(AND($Q$59&lt;$Q$50,$Q$59&gt;=$Q$46),T49+($Q$59-$Q$46)*(T53-T49)/($Q$50-$Q$46),IF(AND($Q$59&lt;$Q$54,$Q$59&gt;=$Q$50),T53+($Q$59-$Q$50)*(T57-T53)/($Q$54-$Q$50),0))))))</f>
        <v>-2.08</v>
      </c>
      <c r="U60" s="281">
        <f>IF(AND($Q$59&lt;$Q$34,$Q$59&gt;=$Q$30),U33+($Q$59-$Q$30)*(U37-U33)/($Q$34-$Q$30),IF(AND($Q$59&lt;$Q$38,$Q$59&gt;=$Q$34),U37+($Q$59-$Q$34)*(U41-U37)/($Q$38-$Q$34),IF(AND($Q$59&lt;$Q$42,$Q$59&gt;=$Q$38),U41+($Q$59-$Q$38)*(U45-U41)/($Q$42-$Q$38),IF(AND($Q$59&lt;$Q$46,$Q$59&gt;=$Q$42),U45+($Q$59-$Q$42)*(U49-U45)/($Q$46-$Q$42),IF(AND($Q$59&lt;$Q$50,$Q$59&gt;=$Q$46),U49+($Q$59-$Q$46)*(U53-U49)/($Q$50-$Q$46),IF(AND($Q$59&lt;$Q$54,$Q$59&gt;=$Q$50),U53+($Q$59-$Q$50)*(U57-U53)/($Q$54-$Q$50),0))))))</f>
        <v>-2.82</v>
      </c>
      <c r="V60" s="281">
        <f>IF(AND($Q$59&lt;$Q$34,$Q$59&gt;=$Q$30),V33+($Q$59-$Q$30)*(V37-V33)/($Q$34-$Q$30),IF(AND($Q$59&lt;$Q$38,$Q$59&gt;=$Q$34),V37+($Q$59-$Q$34)*(V41-V37)/($Q$38-$Q$34),IF(AND($Q$59&lt;$Q$42,$Q$59&gt;=$Q$38),V41+($Q$59-$Q$38)*(V45-V41)/($Q$42-$Q$38),IF(AND($Q$59&lt;$Q$46,$Q$59&gt;=$Q$42),V45+($Q$59-$Q$42)*(V49-V45)/($Q$46-$Q$42),IF(AND($Q$59&lt;$Q$50,$Q$59&gt;=$Q$46),V49+($Q$59-$Q$46)*(V53-V49)/($Q$50-$Q$46),IF(AND($Q$59&lt;$Q$54,$Q$59&gt;=$Q$50),V53+($Q$59-$Q$50)*(V57-V53)/($Q$54-$Q$50),0))))))</f>
        <v>-2.92</v>
      </c>
    </row>
    <row r="61" spans="1:46" ht="15.6" x14ac:dyDescent="0.3">
      <c r="D61" s="15"/>
      <c r="F61" s="15"/>
      <c r="G61" s="15"/>
      <c r="P61" s="155"/>
      <c r="Q61" s="369"/>
      <c r="R61" s="365"/>
      <c r="S61" s="366"/>
      <c r="T61" s="366"/>
      <c r="U61" s="366"/>
      <c r="V61" s="366"/>
    </row>
    <row r="62" spans="1:46" ht="15.6" x14ac:dyDescent="0.3">
      <c r="D62" s="15"/>
      <c r="F62" s="15"/>
      <c r="G62" s="15"/>
      <c r="P62" s="155"/>
      <c r="Q62" s="369"/>
      <c r="R62" s="365"/>
      <c r="S62" s="366"/>
      <c r="T62" s="366"/>
      <c r="U62" s="366"/>
      <c r="V62" s="366"/>
    </row>
    <row r="63" spans="1:46" x14ac:dyDescent="0.3">
      <c r="C63" s="25" t="s">
        <v>290</v>
      </c>
      <c r="D63" s="322">
        <f>MIN(toit_long,2*haut_bat)/10</f>
        <v>2</v>
      </c>
    </row>
    <row r="64" spans="1:46" x14ac:dyDescent="0.3">
      <c r="C64" s="25" t="s">
        <v>291</v>
      </c>
      <c r="D64" s="322">
        <f>MIN(toit_long,2*haut_bat)/4</f>
        <v>5</v>
      </c>
    </row>
    <row r="65" spans="3:4" x14ac:dyDescent="0.3">
      <c r="C65" s="25" t="s">
        <v>293</v>
      </c>
      <c r="D65" s="322">
        <f>toit_long-2*toit_dim_e10</f>
        <v>16</v>
      </c>
    </row>
    <row r="66" spans="3:4" x14ac:dyDescent="0.3">
      <c r="C66" s="25" t="s">
        <v>296</v>
      </c>
      <c r="D66" s="322">
        <f>toit_larg-2*toit_dim_e10</f>
        <v>5</v>
      </c>
    </row>
    <row r="67" spans="3:4" x14ac:dyDescent="0.3">
      <c r="C67" s="25" t="s">
        <v>295</v>
      </c>
      <c r="D67" s="322">
        <f>toit_larg-toit_dim_e10</f>
        <v>7</v>
      </c>
    </row>
    <row r="68" spans="3:4" x14ac:dyDescent="0.3">
      <c r="C68" s="25" t="s">
        <v>294</v>
      </c>
      <c r="D68" s="322">
        <f>toit_long-2*toit_dim_e4</f>
        <v>10</v>
      </c>
    </row>
  </sheetData>
  <mergeCells count="85">
    <mergeCell ref="Q54:Q57"/>
    <mergeCell ref="Q59:Q60"/>
    <mergeCell ref="R59:R60"/>
    <mergeCell ref="AM46:AN46"/>
    <mergeCell ref="AO46:AP46"/>
    <mergeCell ref="AQ46:AR46"/>
    <mergeCell ref="AS46:AT46"/>
    <mergeCell ref="Q50:Q53"/>
    <mergeCell ref="Y46:Z46"/>
    <mergeCell ref="AA46:AB46"/>
    <mergeCell ref="AC46:AD46"/>
    <mergeCell ref="AE46:AF46"/>
    <mergeCell ref="AG46:AH46"/>
    <mergeCell ref="B42:B43"/>
    <mergeCell ref="J42:J43"/>
    <mergeCell ref="Q42:Q45"/>
    <mergeCell ref="X44:AH44"/>
    <mergeCell ref="AL44:AT44"/>
    <mergeCell ref="B45:G45"/>
    <mergeCell ref="J45:N45"/>
    <mergeCell ref="X45:X47"/>
    <mergeCell ref="Y45:AH45"/>
    <mergeCell ref="AL45:AL47"/>
    <mergeCell ref="AM45:AT45"/>
    <mergeCell ref="B46:B47"/>
    <mergeCell ref="C46:G46"/>
    <mergeCell ref="J46:J47"/>
    <mergeCell ref="K46:N46"/>
    <mergeCell ref="Q46:Q49"/>
    <mergeCell ref="B35:B36"/>
    <mergeCell ref="J35:J36"/>
    <mergeCell ref="X36:X37"/>
    <mergeCell ref="AL36:AL37"/>
    <mergeCell ref="B37:B38"/>
    <mergeCell ref="J37:J38"/>
    <mergeCell ref="Q38:Q41"/>
    <mergeCell ref="X38:X39"/>
    <mergeCell ref="AL38:AL39"/>
    <mergeCell ref="AU30:AV30"/>
    <mergeCell ref="AL32:AL33"/>
    <mergeCell ref="Q34:Q37"/>
    <mergeCell ref="X34:X35"/>
    <mergeCell ref="AL34:AL35"/>
    <mergeCell ref="AI30:AJ30"/>
    <mergeCell ref="AM30:AN30"/>
    <mergeCell ref="AO30:AP30"/>
    <mergeCell ref="AQ30:AR30"/>
    <mergeCell ref="AS30:AT30"/>
    <mergeCell ref="Y30:Z30"/>
    <mergeCell ref="AA30:AB30"/>
    <mergeCell ref="AC30:AD30"/>
    <mergeCell ref="AE30:AF30"/>
    <mergeCell ref="AG30:AH30"/>
    <mergeCell ref="Q1:S1"/>
    <mergeCell ref="C6:F6"/>
    <mergeCell ref="G6:J6"/>
    <mergeCell ref="B29:B30"/>
    <mergeCell ref="J29:J30"/>
    <mergeCell ref="Q28:Q29"/>
    <mergeCell ref="B26:H26"/>
    <mergeCell ref="J26:O26"/>
    <mergeCell ref="Q26:V26"/>
    <mergeCell ref="C29:E29"/>
    <mergeCell ref="F29:H29"/>
    <mergeCell ref="K29:O29"/>
    <mergeCell ref="Q30:Q33"/>
    <mergeCell ref="B33:B34"/>
    <mergeCell ref="J33:J34"/>
    <mergeCell ref="B31:B32"/>
    <mergeCell ref="J31:J32"/>
    <mergeCell ref="X32:X33"/>
    <mergeCell ref="X26:AJ26"/>
    <mergeCell ref="AL26:AV26"/>
    <mergeCell ref="B28:H28"/>
    <mergeCell ref="J28:O28"/>
    <mergeCell ref="R28:R29"/>
    <mergeCell ref="S28:S29"/>
    <mergeCell ref="T28:V28"/>
    <mergeCell ref="X28:AJ28"/>
    <mergeCell ref="AL28:AV28"/>
    <mergeCell ref="X29:X31"/>
    <mergeCell ref="Y29:AD29"/>
    <mergeCell ref="AE29:AJ29"/>
    <mergeCell ref="AL29:AL31"/>
    <mergeCell ref="AM29:AV29"/>
  </mergeCells>
  <phoneticPr fontId="40" type="noConversion"/>
  <dataValidations count="1">
    <dataValidation allowBlank="1" showInputMessage="1" showErrorMessage="1" promptTitle="Select" sqref="M5" xr:uid="{8050EA75-3BAB-4050-921D-5D0CDCD8BF87}"/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11A85-2793-4AAE-B599-9361AD9A18FE}">
  <dimension ref="B3:F24"/>
  <sheetViews>
    <sheetView workbookViewId="0">
      <selection activeCell="E5" sqref="E5"/>
    </sheetView>
  </sheetViews>
  <sheetFormatPr baseColWidth="10" defaultColWidth="11.5546875" defaultRowHeight="14.4" x14ac:dyDescent="0.3"/>
  <sheetData>
    <row r="3" spans="2:6" x14ac:dyDescent="0.3">
      <c r="B3" s="1" t="s">
        <v>334</v>
      </c>
      <c r="C3" s="1" t="s">
        <v>348</v>
      </c>
      <c r="D3" s="1" t="s">
        <v>349</v>
      </c>
      <c r="E3" s="1" t="s">
        <v>335</v>
      </c>
      <c r="F3" s="1" t="s">
        <v>336</v>
      </c>
    </row>
    <row r="4" spans="2:6" x14ac:dyDescent="0.3">
      <c r="B4" s="1" t="s">
        <v>337</v>
      </c>
      <c r="C4" s="1">
        <v>0.45</v>
      </c>
      <c r="D4" s="1">
        <f t="shared" ref="D4:D11" si="0">IFERROR(IF(Alt_proj&lt;=200,0,IF(AND(Alt_proj&gt;200,Alt_proj&lt;=500),Alt_proj/1000-0.2,IF(AND(Alt_proj&gt;500,Alt_proj&lt;=1000),1.5*Alt_proj/1000-0.45,IF(AND(Alt_proj&gt;1000,Alt_proj&lt;=2000),3.5*Alt_proj/1000-2.45)))),"")</f>
        <v>0</v>
      </c>
      <c r="E4" s="1">
        <f>C4+D4</f>
        <v>0.45</v>
      </c>
      <c r="F4" s="1">
        <v>0</v>
      </c>
    </row>
    <row r="5" spans="2:6" x14ac:dyDescent="0.3">
      <c r="B5" s="1" t="s">
        <v>338</v>
      </c>
      <c r="C5" s="1">
        <v>0.45</v>
      </c>
      <c r="D5" s="1">
        <f t="shared" si="0"/>
        <v>0</v>
      </c>
      <c r="E5" s="1">
        <f t="shared" ref="E5:E11" si="1">C5+D5</f>
        <v>0.45</v>
      </c>
      <c r="F5" s="1">
        <v>1</v>
      </c>
    </row>
    <row r="6" spans="2:6" x14ac:dyDescent="0.3">
      <c r="B6" s="1" t="s">
        <v>339</v>
      </c>
      <c r="C6" s="1">
        <v>0.55000000000000004</v>
      </c>
      <c r="D6" s="1">
        <f t="shared" si="0"/>
        <v>0</v>
      </c>
      <c r="E6" s="1">
        <f t="shared" si="1"/>
        <v>0.55000000000000004</v>
      </c>
      <c r="F6" s="1">
        <v>1</v>
      </c>
    </row>
    <row r="7" spans="2:6" x14ac:dyDescent="0.3">
      <c r="B7" s="1" t="s">
        <v>340</v>
      </c>
      <c r="C7" s="1">
        <v>0.55000000000000004</v>
      </c>
      <c r="D7" s="1">
        <f t="shared" si="0"/>
        <v>0</v>
      </c>
      <c r="E7" s="1">
        <f t="shared" si="1"/>
        <v>0.55000000000000004</v>
      </c>
      <c r="F7" s="1">
        <v>1.35</v>
      </c>
    </row>
    <row r="8" spans="2:6" x14ac:dyDescent="0.3">
      <c r="B8" s="1" t="s">
        <v>341</v>
      </c>
      <c r="C8" s="1">
        <v>0.65</v>
      </c>
      <c r="D8" s="1">
        <f t="shared" si="0"/>
        <v>0</v>
      </c>
      <c r="E8" s="1">
        <f t="shared" si="1"/>
        <v>0.65</v>
      </c>
      <c r="F8" s="1">
        <v>0</v>
      </c>
    </row>
    <row r="9" spans="2:6" x14ac:dyDescent="0.3">
      <c r="B9" s="1" t="s">
        <v>342</v>
      </c>
      <c r="C9" s="1">
        <v>0.65</v>
      </c>
      <c r="D9" s="1">
        <f t="shared" si="0"/>
        <v>0</v>
      </c>
      <c r="E9" s="1">
        <f t="shared" si="1"/>
        <v>0.65</v>
      </c>
      <c r="F9" s="1">
        <v>1.35</v>
      </c>
    </row>
    <row r="10" spans="2:6" x14ac:dyDescent="0.3">
      <c r="B10" s="1" t="s">
        <v>343</v>
      </c>
      <c r="C10" s="1">
        <v>0.9</v>
      </c>
      <c r="D10" s="1">
        <f t="shared" si="0"/>
        <v>0</v>
      </c>
      <c r="E10" s="1">
        <f t="shared" si="1"/>
        <v>0.9</v>
      </c>
      <c r="F10" s="1">
        <v>1.8</v>
      </c>
    </row>
    <row r="11" spans="2:6" x14ac:dyDescent="0.3">
      <c r="B11" s="1" t="s">
        <v>344</v>
      </c>
      <c r="C11" s="1">
        <v>1.4</v>
      </c>
      <c r="D11" s="1">
        <f t="shared" si="0"/>
        <v>0</v>
      </c>
      <c r="E11" s="1">
        <f t="shared" si="1"/>
        <v>1.4</v>
      </c>
      <c r="F11" s="1">
        <v>0</v>
      </c>
    </row>
    <row r="13" spans="2:6" ht="15.6" x14ac:dyDescent="0.35">
      <c r="B13" s="375" t="s">
        <v>345</v>
      </c>
      <c r="C13" s="75">
        <f>IF(pente&lt;=30,0.8,IF(AND(pente&gt;30,pente&lt;60),0.8*(60-pente)/30,0))</f>
        <v>0.8</v>
      </c>
    </row>
    <row r="14" spans="2:6" ht="15.6" x14ac:dyDescent="0.35">
      <c r="B14" s="375" t="s">
        <v>346</v>
      </c>
      <c r="C14" s="75">
        <v>1</v>
      </c>
    </row>
    <row r="15" spans="2:6" ht="15.6" x14ac:dyDescent="0.35">
      <c r="B15" s="375" t="s">
        <v>347</v>
      </c>
      <c r="C15" s="75">
        <v>1</v>
      </c>
    </row>
    <row r="17" spans="2:5" x14ac:dyDescent="0.3">
      <c r="B17" t="s">
        <v>353</v>
      </c>
      <c r="C17" s="376">
        <f>VLOOKUP(choix_neige,Neige_Charges,4,FALSE)*C13*C14*C15</f>
        <v>0.36000000000000004</v>
      </c>
      <c r="D17" t="s">
        <v>354</v>
      </c>
      <c r="E17" s="376">
        <f>C17*COS(RADIANS(pente))</f>
        <v>0.34773329746406462</v>
      </c>
    </row>
    <row r="18" spans="2:5" x14ac:dyDescent="0.3">
      <c r="D18" t="s">
        <v>357</v>
      </c>
      <c r="E18" s="376">
        <f>E17*COS(RADIANS(pente))</f>
        <v>0.33588457268119898</v>
      </c>
    </row>
    <row r="19" spans="2:5" x14ac:dyDescent="0.3">
      <c r="D19" t="s">
        <v>358</v>
      </c>
      <c r="E19" s="376">
        <f>E17*SIN(RADIANS(pente))</f>
        <v>0.09</v>
      </c>
    </row>
    <row r="20" spans="2:5" x14ac:dyDescent="0.3">
      <c r="E20" s="376"/>
    </row>
    <row r="21" spans="2:5" x14ac:dyDescent="0.3">
      <c r="B21" t="s">
        <v>355</v>
      </c>
      <c r="C21" s="376">
        <f>VLOOKUP(choix_neige,Neige_Charges,5,FALSE)*C13*C14*C15</f>
        <v>0.8</v>
      </c>
      <c r="D21" t="s">
        <v>356</v>
      </c>
      <c r="E21" s="376">
        <f>C21*COS(RADIANS(pente))</f>
        <v>0.77274066103125472</v>
      </c>
    </row>
    <row r="22" spans="2:5" x14ac:dyDescent="0.3">
      <c r="D22" t="s">
        <v>359</v>
      </c>
      <c r="E22" s="376">
        <f>E21*COS(RADIANS(pente))</f>
        <v>0.74641016151377559</v>
      </c>
    </row>
    <row r="23" spans="2:5" x14ac:dyDescent="0.3">
      <c r="D23" t="s">
        <v>360</v>
      </c>
      <c r="E23" s="376">
        <f>E21*SIN(RADIANS(pente))</f>
        <v>0.2</v>
      </c>
    </row>
    <row r="24" spans="2:5" x14ac:dyDescent="0.3">
      <c r="E24" s="376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271F3-F0A6-48E7-A551-8CEFFBCBE791}">
  <dimension ref="B2:U34"/>
  <sheetViews>
    <sheetView zoomScale="115" zoomScaleNormal="115" workbookViewId="0">
      <selection activeCell="E5" sqref="E5"/>
    </sheetView>
  </sheetViews>
  <sheetFormatPr baseColWidth="10" defaultColWidth="11.5546875" defaultRowHeight="14.4" x14ac:dyDescent="0.3"/>
  <cols>
    <col min="3" max="3" width="21" bestFit="1" customWidth="1"/>
    <col min="7" max="7" width="12.44140625" bestFit="1" customWidth="1"/>
    <col min="10" max="10" width="12.88671875" bestFit="1" customWidth="1"/>
  </cols>
  <sheetData>
    <row r="2" spans="2:19" x14ac:dyDescent="0.3">
      <c r="F2" s="25" t="s">
        <v>371</v>
      </c>
      <c r="G2" s="376">
        <f>(mod_poids/(mod_haut*mod_larg/1000000)+4.5)/100</f>
        <v>0.1644743130227001</v>
      </c>
      <c r="I2" s="25" t="s">
        <v>372</v>
      </c>
      <c r="J2" s="376">
        <f>'EC1-Neige'!C17</f>
        <v>0.36000000000000004</v>
      </c>
    </row>
    <row r="3" spans="2:19" x14ac:dyDescent="0.3">
      <c r="B3" t="s">
        <v>350</v>
      </c>
      <c r="C3" s="377" t="s">
        <v>361</v>
      </c>
      <c r="F3" s="25" t="s">
        <v>370</v>
      </c>
      <c r="G3" s="376">
        <f>$G$2*COS(RADIANS(pente))</f>
        <v>0.15886998670977848</v>
      </c>
      <c r="I3" s="25" t="s">
        <v>374</v>
      </c>
      <c r="J3" s="376">
        <f>'EC1-Neige'!E18</f>
        <v>0.33588457268119898</v>
      </c>
    </row>
    <row r="4" spans="2:19" x14ac:dyDescent="0.3">
      <c r="B4" t="s">
        <v>351</v>
      </c>
      <c r="C4" s="377" t="s">
        <v>362</v>
      </c>
      <c r="F4" s="25" t="s">
        <v>369</v>
      </c>
      <c r="G4" s="376">
        <f>$G$2*COS(RADIANS(pente))</f>
        <v>0.15886998670977848</v>
      </c>
      <c r="I4" s="25" t="s">
        <v>373</v>
      </c>
      <c r="J4" s="376">
        <f>'EC1-Neige'!E19</f>
        <v>0.09</v>
      </c>
    </row>
    <row r="5" spans="2:19" x14ac:dyDescent="0.3">
      <c r="B5" t="s">
        <v>352</v>
      </c>
      <c r="C5" s="377" t="s">
        <v>366</v>
      </c>
    </row>
    <row r="8" spans="2:19" x14ac:dyDescent="0.3">
      <c r="D8" t="s">
        <v>299</v>
      </c>
      <c r="E8" t="s">
        <v>298</v>
      </c>
      <c r="F8" t="s">
        <v>305</v>
      </c>
      <c r="G8" t="s">
        <v>304</v>
      </c>
      <c r="H8" t="s">
        <v>368</v>
      </c>
      <c r="I8" t="s">
        <v>367</v>
      </c>
      <c r="J8" t="s">
        <v>325</v>
      </c>
      <c r="M8" t="s">
        <v>299</v>
      </c>
      <c r="N8" t="s">
        <v>298</v>
      </c>
      <c r="O8" t="s">
        <v>305</v>
      </c>
      <c r="P8" t="s">
        <v>304</v>
      </c>
      <c r="Q8" t="s">
        <v>368</v>
      </c>
      <c r="R8" t="s">
        <v>367</v>
      </c>
      <c r="S8" t="s">
        <v>325</v>
      </c>
    </row>
    <row r="9" spans="2:19" x14ac:dyDescent="0.3">
      <c r="B9">
        <v>1</v>
      </c>
      <c r="C9" t="s">
        <v>190</v>
      </c>
      <c r="D9" s="321">
        <f>MIN('EC1-Vent'!$E$42:$E$43,'EC1-Vent'!$H$42:$H$43,'EC1-Vent'!$F$55:$G$55)</f>
        <v>-0.9</v>
      </c>
      <c r="E9" s="321">
        <f>MAX('EC1-Vent'!$E$42:$E$43,'EC1-Vent'!$H$42:$H$43,'EC1-Vent'!$F$55:$G$55)</f>
        <v>0.2</v>
      </c>
      <c r="F9" s="348">
        <f t="shared" ref="F9:G14" si="0">D9*Qpz</f>
        <v>-1193.9103417834813</v>
      </c>
      <c r="G9" s="348">
        <f t="shared" si="0"/>
        <v>265.31340928521803</v>
      </c>
      <c r="H9" s="348">
        <f>1.35*G_droit*1000+1.5*(Sn_droit*1000+0.6*'EC1 - CC'!$G9)</f>
        <v>957.08340943669555</v>
      </c>
      <c r="I9" s="348">
        <f>1.35*G_droit*1000+1.5*(0.5*Sn_droit*1000+'EC1 - CC'!$G9)</f>
        <v>864.35802549692721</v>
      </c>
      <c r="J9" s="348">
        <f t="shared" ref="J9:J14" si="1">F9*1.5+0.9*G_droit*1000</f>
        <v>-1647.8825246364213</v>
      </c>
      <c r="L9" t="s">
        <v>190</v>
      </c>
      <c r="M9" s="321">
        <f>MIN('EC1-Vent'!$M$42:$O$43,'EC1-Vent'!$M$55:$N$55)</f>
        <v>-1</v>
      </c>
      <c r="N9" s="321">
        <f>MAX('EC1-Vent'!$M$42:$O$43,'EC1-Vent'!$M$55:$N$55)</f>
        <v>0.2</v>
      </c>
      <c r="O9" s="348">
        <f t="shared" ref="O9:P12" si="2">M9*Qpz</f>
        <v>-1326.5670464260902</v>
      </c>
      <c r="P9" s="348">
        <f t="shared" si="2"/>
        <v>265.31340928521803</v>
      </c>
      <c r="Q9" s="348">
        <f>1.35*G_droit*1000+1.5*(Sn_droit*1000+0.6*'EC1 - CC'!$G9)</f>
        <v>957.08340943669555</v>
      </c>
      <c r="R9" s="348">
        <f>1.36*G_droit*1000+1.5*(0.5*Sn_droit*1000+'EC1 - CC'!$P9)</f>
        <v>865.94672536402504</v>
      </c>
      <c r="S9" s="348">
        <f>O9*1.5+0.9*G_droit*1000</f>
        <v>-1846.8675816003347</v>
      </c>
    </row>
    <row r="10" spans="2:19" x14ac:dyDescent="0.3">
      <c r="B10">
        <v>2</v>
      </c>
      <c r="C10" t="s">
        <v>191</v>
      </c>
      <c r="D10" s="321">
        <f>MIN('EC1-Vent'!$E$42:$E$43,'EC1-Vent'!$H$42:$H$43,'EC1-Vent'!$E$55,'EC1-Vent'!$G$55)</f>
        <v>-1.9</v>
      </c>
      <c r="E10" s="321">
        <f>MAX('EC1-Vent'!$E$42:$E$43,'EC1-Vent'!$H$42:$H$43,'EC1-Vent'!$E$55,'EC1-Vent'!$G$55)</f>
        <v>0.2</v>
      </c>
      <c r="F10" s="348">
        <f t="shared" si="0"/>
        <v>-2520.4773882095715</v>
      </c>
      <c r="G10" s="348">
        <f t="shared" si="0"/>
        <v>265.31340928521803</v>
      </c>
      <c r="H10" s="348">
        <f>1.35*G_droit*1000+1.5*(Sn_droit*1000+0.6*'EC1 - CC'!$G10)</f>
        <v>957.08340943669555</v>
      </c>
      <c r="I10" s="348">
        <f>1.35*G_droit*1000+1.5*(0.5*Sn_droit*1000+'EC1 - CC'!$G10)</f>
        <v>864.35802549692721</v>
      </c>
      <c r="J10" s="348">
        <f t="shared" si="1"/>
        <v>-3637.7330942755566</v>
      </c>
      <c r="L10" t="s">
        <v>191</v>
      </c>
      <c r="M10" s="321">
        <f>MIN('EC1-Vent'!$M$42:$O$43,'EC1-Vent'!$L$55,'EC1-Vent'!$N$55)</f>
        <v>-1.3</v>
      </c>
      <c r="N10" s="321">
        <f>MAX('EC1-Vent'!$M$42:$O$43,'EC1-Vent'!$L$55,'EC1-Vent'!$N$55)</f>
        <v>0.2</v>
      </c>
      <c r="O10" s="348">
        <f t="shared" si="2"/>
        <v>-1724.5371603539172</v>
      </c>
      <c r="P10" s="348">
        <f t="shared" si="2"/>
        <v>265.31340928521803</v>
      </c>
      <c r="Q10" s="348">
        <f>1.35*G_droit*1000+1.5*(Sn_droit*1000+0.6*'EC1 - CC'!$G10)</f>
        <v>957.08340943669555</v>
      </c>
      <c r="R10" s="348">
        <f>1.36*G_droit*1000+1.5*(0.5*Sn_droit*1000+'EC1 - CC'!$P10)</f>
        <v>865.94672536402504</v>
      </c>
      <c r="S10" s="348">
        <f>O10*1.5+0.9*G_droit*1000</f>
        <v>-2443.8227524920753</v>
      </c>
    </row>
    <row r="11" spans="2:19" x14ac:dyDescent="0.3">
      <c r="B11">
        <v>3</v>
      </c>
      <c r="C11" t="s">
        <v>300</v>
      </c>
      <c r="D11" s="321">
        <f>MIN('EC1-Vent'!$F$55:$G$55,'EC1-Vent'!$D$42:$D$43,'EC1-Vent'!$H$42:$H$43)</f>
        <v>-0.9</v>
      </c>
      <c r="E11" s="321">
        <f>MAX('EC1-Vent'!$F$55:$G$55,'EC1-Vent'!$D$42:$D$43,'EC1-Vent'!$H$42:$H$43)</f>
        <v>0.2</v>
      </c>
      <c r="F11" s="348">
        <f t="shared" si="0"/>
        <v>-1193.9103417834813</v>
      </c>
      <c r="G11" s="348">
        <f t="shared" si="0"/>
        <v>265.31340928521803</v>
      </c>
      <c r="H11" s="348">
        <f>1.35*G_droit*1000+1.5*(Sn_droit*1000+0.6*'EC1 - CC'!$G11)</f>
        <v>957.08340943669555</v>
      </c>
      <c r="I11" s="348">
        <f>1.35*G_droit*1000+1.5*(0.5*Sn_droit*1000+'EC1 - CC'!$G11)</f>
        <v>864.35802549692721</v>
      </c>
      <c r="J11" s="348">
        <f t="shared" si="1"/>
        <v>-1647.8825246364213</v>
      </c>
      <c r="L11" t="s">
        <v>273</v>
      </c>
      <c r="M11" s="321">
        <f>MIN('EC1-Vent'!$L$42:$L$43,'EC1-Vent'!$N$42:$N$43,'EC1-Vent'!$M$55:$N$55)</f>
        <v>-0.8</v>
      </c>
      <c r="N11" s="321">
        <f>MAX('EC1-Vent'!$L$42:$L$43,'EC1-Vent'!$N$42:$N$43,'EC1-Vent'!$M$55:$N$55)</f>
        <v>0.2</v>
      </c>
      <c r="O11" s="348">
        <f t="shared" si="2"/>
        <v>-1061.2536371408721</v>
      </c>
      <c r="P11" s="348">
        <f t="shared" si="2"/>
        <v>265.31340928521803</v>
      </c>
      <c r="Q11" s="348">
        <f>1.35*G_droit*1000+1.5*(Sn_droit*1000+0.6*'EC1 - CC'!$G11)</f>
        <v>957.08340943669555</v>
      </c>
      <c r="R11" s="348">
        <f>1.36*G_droit*1000+1.5*(0.5*Sn_droit*1000+'EC1 - CC'!$P11)</f>
        <v>865.94672536402504</v>
      </c>
      <c r="S11" s="348">
        <f>O11*1.5+0.9*G_droit*1000</f>
        <v>-1448.8974676725074</v>
      </c>
    </row>
    <row r="12" spans="2:19" x14ac:dyDescent="0.3">
      <c r="B12">
        <v>4</v>
      </c>
      <c r="C12" t="s">
        <v>272</v>
      </c>
      <c r="D12" s="321">
        <f>MIN('EC1-Vent'!$F$55:$G$55,'EC1-Vent'!$E$42:$E$43,'EC1-Vent'!$G$42:$G$43)</f>
        <v>-1.3</v>
      </c>
      <c r="E12" s="321">
        <f>MAX('EC1-Vent'!$F$55:$G$55,'EC1-Vent'!$E$42:$E$43,'EC1-Vent'!$G$42:$G$43)</f>
        <v>0.2</v>
      </c>
      <c r="F12" s="348">
        <f t="shared" si="0"/>
        <v>-1724.5371603539172</v>
      </c>
      <c r="G12" s="348">
        <f t="shared" si="0"/>
        <v>265.31340928521803</v>
      </c>
      <c r="H12" s="348">
        <f>1.35*G_droit*1000+1.5*(Sn_droit*1000+0.6*'EC1 - CC'!$G12)</f>
        <v>957.08340943669555</v>
      </c>
      <c r="I12" s="348">
        <f>1.35*G_droit*1000+1.5*(0.5*Sn_droit*1000+'EC1 - CC'!$G12)</f>
        <v>864.35802549692721</v>
      </c>
      <c r="J12" s="348">
        <f t="shared" si="1"/>
        <v>-2443.8227524920753</v>
      </c>
      <c r="L12" t="s">
        <v>285</v>
      </c>
      <c r="M12" s="321">
        <f>MIN('EC1-Vent'!$K$42:$K$43,'EC1-Vent'!$N$42:$N$43,'EC1-Vent'!$K$55,'EC1-Vent'!$N$55)</f>
        <v>-1.3</v>
      </c>
      <c r="N12" s="321">
        <f>MAX('EC1-Vent'!$K$42:$K$43,'EC1-Vent'!$N$42:$N$43,'EC1-Vent'!$K$55,'EC1-Vent'!$N$55)</f>
        <v>0.2</v>
      </c>
      <c r="O12" s="348">
        <f t="shared" si="2"/>
        <v>-1724.5371603539172</v>
      </c>
      <c r="P12" s="348">
        <f t="shared" si="2"/>
        <v>265.31340928521803</v>
      </c>
      <c r="Q12" s="348">
        <f>1.35*G_droit*1000+1.5*(Sn_droit*1000+0.6*'EC1 - CC'!$G12)</f>
        <v>957.08340943669555</v>
      </c>
      <c r="R12" s="348">
        <f>1.36*G_droit*1000+1.5*(0.5*Sn_droit*1000+'EC1 - CC'!$P12)</f>
        <v>865.94672536402504</v>
      </c>
      <c r="S12" s="348">
        <f>O12*1.5+0.9*G_droit*1000</f>
        <v>-2443.8227524920753</v>
      </c>
    </row>
    <row r="13" spans="2:19" x14ac:dyDescent="0.3">
      <c r="B13">
        <v>5</v>
      </c>
      <c r="C13" t="s">
        <v>285</v>
      </c>
      <c r="D13" s="321">
        <f>MIN('EC1-Vent'!$C$42:$C$43,'EC1-Vent'!$H$42:$H$43,'EC1-Vent'!$D$55,'EC1-Vent'!$G$55)</f>
        <v>-1.6</v>
      </c>
      <c r="E13" s="321">
        <f>MAX('EC1-Vent'!$C$42:$C$43,'EC1-Vent'!$H$42:$H$43,'EC1-Vent'!$D$55,'EC1-Vent'!$G$55)</f>
        <v>0.2</v>
      </c>
      <c r="F13" s="348">
        <f t="shared" si="0"/>
        <v>-2122.5072742817442</v>
      </c>
      <c r="G13" s="348">
        <f t="shared" si="0"/>
        <v>265.31340928521803</v>
      </c>
      <c r="H13" s="348">
        <f>1.35*G_droit*1000+1.5*(Sn_droit*1000+0.6*'EC1 - CC'!$G13)</f>
        <v>957.08340943669555</v>
      </c>
      <c r="I13" s="348">
        <f>1.35*G_droit*1000+1.5*(0.5*Sn_droit*1000+'EC1 - CC'!$G13)</f>
        <v>864.35802549692721</v>
      </c>
      <c r="J13" s="348">
        <f t="shared" si="1"/>
        <v>-3040.7779233838155</v>
      </c>
    </row>
    <row r="14" spans="2:19" x14ac:dyDescent="0.3">
      <c r="B14">
        <v>6</v>
      </c>
      <c r="C14" t="s">
        <v>286</v>
      </c>
      <c r="D14" s="321">
        <f>MIN('EC1-Vent'!$E$42:$E$43,'EC1-Vent'!$F$42:$F$43,'EC1-Vent'!$C$55,'EC1-Vent'!$G$55:G$55)</f>
        <v>-2.5</v>
      </c>
      <c r="E14" s="321">
        <f>MAX('EC1-Vent'!$E$42:$E$43,'EC1-Vent'!$F$42:$F$43,'EC1-Vent'!$C$55,'EC1-Vent'!$G$55:G$55)</f>
        <v>0.2</v>
      </c>
      <c r="F14" s="348">
        <f t="shared" si="0"/>
        <v>-3316.4176160652255</v>
      </c>
      <c r="G14" s="348">
        <f t="shared" si="0"/>
        <v>265.31340928521803</v>
      </c>
      <c r="H14" s="348">
        <f>1.35*G_droit*1000+1.5*(Sn_droit*1000+0.6*'EC1 - CC'!$G14)</f>
        <v>957.08340943669555</v>
      </c>
      <c r="I14" s="348">
        <f>1.35*G_droit*1000+1.5*(0.5*Sn_droit*1000+'EC1 - CC'!$G14)</f>
        <v>864.35802549692721</v>
      </c>
      <c r="J14" s="348">
        <f t="shared" si="1"/>
        <v>-4831.6434360590374</v>
      </c>
    </row>
    <row r="17" spans="3:21" x14ac:dyDescent="0.3">
      <c r="I17">
        <f>(45+649)*1.5+1.35*109</f>
        <v>1188.1500000000001</v>
      </c>
    </row>
    <row r="18" spans="3:21" x14ac:dyDescent="0.3">
      <c r="C18" s="25"/>
      <c r="D18" s="322"/>
    </row>
    <row r="19" spans="3:21" x14ac:dyDescent="0.3">
      <c r="C19" s="25"/>
      <c r="D19" s="322"/>
      <c r="E19" t="s">
        <v>301</v>
      </c>
    </row>
    <row r="20" spans="3:21" x14ac:dyDescent="0.3">
      <c r="C20" s="25"/>
      <c r="D20" s="322"/>
      <c r="E20">
        <f>ROUNDDOWN(entr_croch_max/Entr_chev,0)</f>
        <v>2</v>
      </c>
      <c r="F20">
        <f>E20-1</f>
        <v>1</v>
      </c>
      <c r="G20">
        <f>F20-1</f>
        <v>0</v>
      </c>
      <c r="H20">
        <f>G20-1</f>
        <v>-1</v>
      </c>
      <c r="I20">
        <f>ROUNDDOWN(entr_croch_max/Entr_chev,0)</f>
        <v>2</v>
      </c>
      <c r="J20">
        <f>I20-1</f>
        <v>1</v>
      </c>
      <c r="K20">
        <f>J20-1</f>
        <v>0</v>
      </c>
      <c r="L20">
        <f>K20-1</f>
        <v>-1</v>
      </c>
    </row>
    <row r="21" spans="3:21" ht="15" thickBot="1" x14ac:dyDescent="0.35">
      <c r="E21">
        <f t="shared" ref="E21:L21" si="3">E20*Entr_chev</f>
        <v>1200</v>
      </c>
      <c r="F21">
        <f t="shared" si="3"/>
        <v>600</v>
      </c>
      <c r="G21">
        <f t="shared" si="3"/>
        <v>0</v>
      </c>
      <c r="H21">
        <f t="shared" si="3"/>
        <v>-600</v>
      </c>
      <c r="I21">
        <f t="shared" si="3"/>
        <v>1200</v>
      </c>
      <c r="J21">
        <f t="shared" si="3"/>
        <v>600</v>
      </c>
      <c r="K21">
        <f t="shared" si="3"/>
        <v>0</v>
      </c>
      <c r="L21">
        <f t="shared" si="3"/>
        <v>-600</v>
      </c>
    </row>
    <row r="22" spans="3:21" x14ac:dyDescent="0.3">
      <c r="D22" s="349" t="s">
        <v>310</v>
      </c>
      <c r="E22" s="349" t="s">
        <v>78</v>
      </c>
      <c r="F22" s="350"/>
      <c r="G22" s="354"/>
      <c r="H22" s="350"/>
      <c r="I22" s="349" t="s">
        <v>121</v>
      </c>
      <c r="J22" s="350"/>
      <c r="K22" s="350"/>
      <c r="L22" s="351"/>
      <c r="M22" s="350" t="s">
        <v>303</v>
      </c>
      <c r="N22" s="351"/>
      <c r="O22" s="349" t="s">
        <v>302</v>
      </c>
      <c r="P22" s="350" t="s">
        <v>312</v>
      </c>
      <c r="Q22" s="350" t="s">
        <v>302</v>
      </c>
      <c r="R22" s="351" t="s">
        <v>313</v>
      </c>
    </row>
    <row r="23" spans="3:21" x14ac:dyDescent="0.3">
      <c r="D23" s="352" t="s">
        <v>311</v>
      </c>
      <c r="E23" s="352" t="s">
        <v>306</v>
      </c>
      <c r="F23" t="s">
        <v>308</v>
      </c>
      <c r="G23" s="184" t="s">
        <v>307</v>
      </c>
      <c r="H23" t="s">
        <v>365</v>
      </c>
      <c r="I23" s="352" t="s">
        <v>306</v>
      </c>
      <c r="J23" t="s">
        <v>308</v>
      </c>
      <c r="K23" t="s">
        <v>307</v>
      </c>
      <c r="L23" s="353" t="s">
        <v>365</v>
      </c>
      <c r="M23">
        <v>2</v>
      </c>
      <c r="N23" s="353">
        <v>3</v>
      </c>
      <c r="O23" s="352">
        <v>2</v>
      </c>
      <c r="P23">
        <v>3</v>
      </c>
      <c r="Q23">
        <v>2</v>
      </c>
      <c r="R23" s="353">
        <v>3</v>
      </c>
    </row>
    <row r="24" spans="3:21" ht="15" thickBot="1" x14ac:dyDescent="0.35">
      <c r="D24" s="352" t="s">
        <v>309</v>
      </c>
      <c r="E24" s="352">
        <f>RAIL_cont_max*RAIL_Inertia*4/RAIL_fibre/E$21/RAIL_Sécu/mod_haut/mod_larg*1000000*2</f>
        <v>2101.5663651362574</v>
      </c>
      <c r="F24" s="355">
        <f>RAIL_cont_max*RAIL_Inertia*4/RAIL_fibre/F$21/RAIL_Sécu/mod_haut/mod_larg*1000000*2</f>
        <v>4203.1327302725149</v>
      </c>
      <c r="G24" s="355" t="e">
        <f>RAIL_cont_max*RAIL_Inertia*4/RAIL_fibre/G$21/RAIL_Sécu/mod_haut/mod_larg*1000000*2</f>
        <v>#DIV/0!</v>
      </c>
      <c r="H24" s="355">
        <f>RAIL_cont_max*RAIL_Inertia*4/RAIL_fibre/H$21/RAIL_Sécu/mod_haut/mod_larg*1000000*2</f>
        <v>-4203.1327302725149</v>
      </c>
      <c r="I24" s="371">
        <f>VLOOKUP(Choix_croch,Articl_resist,11,FALSE)/(mod_haut/2*I21/1000000)</f>
        <v>1120.4301075268816</v>
      </c>
      <c r="J24" s="348">
        <f>VLOOKUP(Choix_croch,Articl_resist,11,FALSE)/(mod_haut/2*J21/1000000)</f>
        <v>2240.8602150537631</v>
      </c>
      <c r="K24" s="348" t="e">
        <f>VLOOKUP(Choix_croch,Articl_resist,11,FALSE)/(mod_haut/2*K21/1000000)</f>
        <v>#DIV/0!</v>
      </c>
      <c r="L24" s="357">
        <f>VLOOKUP(Choix_croch,Articl_resist,11,FALSE)/(mod_haut/2*L21/1000000)</f>
        <v>-2240.8602150537631</v>
      </c>
      <c r="M24" s="356">
        <f>VLOOKUP(Logistique!$I$23,Articl_resist,11,FALSE)*POWER(M23,0.9)*0.9/1.3</f>
        <v>5734.7078530595381</v>
      </c>
      <c r="N24" s="357">
        <f>VLOOKUP(Logistique!$I$23,Articl_resist,11,FALSE)*POWER(N23,0.9)*0.9/1.3</f>
        <v>8260.2545605611449</v>
      </c>
      <c r="O24" s="371">
        <f>VLOOKUP(Logistique!$I$16,Articl_resist,11,FALSE)/(mod_haut*mod_larg/O23/1000000)</f>
        <v>4075.7808499743983</v>
      </c>
      <c r="P24" s="348">
        <f>VLOOKUP(Logistique!$I$16,Articl_resist,11,FALSE)/(mod_haut*mod_larg/P23/1000000)</f>
        <v>6113.6712749615981</v>
      </c>
      <c r="Q24" s="348">
        <f>VLOOKUP(Logistique!$I$15,Articl_resist,11,FALSE)/(mod_haut*mod_larg/Q23/2/1000000)</f>
        <v>7058.0872731410363</v>
      </c>
      <c r="R24" s="357">
        <f>VLOOKUP(Logistique!$I$15,Articl_resist,11,FALSE)/(mod_haut*mod_larg/R23/2/1000000)</f>
        <v>10587.130909711555</v>
      </c>
      <c r="S24" t="s">
        <v>329</v>
      </c>
      <c r="T24" t="s">
        <v>330</v>
      </c>
      <c r="U24" t="s">
        <v>331</v>
      </c>
    </row>
    <row r="25" spans="3:21" x14ac:dyDescent="0.3">
      <c r="D25" s="349" t="str">
        <f t="shared" ref="D25:D30" si="4">C9</f>
        <v>Centre</v>
      </c>
      <c r="E25" s="372">
        <f t="shared" ref="E25:R25" si="5">MAX($H9,$I9,ABS($J9))/E$24</f>
        <v>0.78412109746987646</v>
      </c>
      <c r="F25" s="358">
        <f t="shared" si="5"/>
        <v>0.39206054873493823</v>
      </c>
      <c r="G25" s="358" t="e">
        <f t="shared" si="5"/>
        <v>#DIV/0!</v>
      </c>
      <c r="H25" s="358">
        <f t="shared" si="5"/>
        <v>-0.39206054873493823</v>
      </c>
      <c r="I25" s="372">
        <f t="shared" si="5"/>
        <v>1.4707588751553475</v>
      </c>
      <c r="J25" s="358">
        <f t="shared" si="5"/>
        <v>0.73537943757767377</v>
      </c>
      <c r="K25" s="358" t="e">
        <f t="shared" si="5"/>
        <v>#DIV/0!</v>
      </c>
      <c r="L25" s="359">
        <f t="shared" si="5"/>
        <v>-0.73537943757767377</v>
      </c>
      <c r="M25" s="358">
        <f t="shared" si="5"/>
        <v>0.28735248017163689</v>
      </c>
      <c r="N25" s="359">
        <f t="shared" si="5"/>
        <v>0.19949536815781566</v>
      </c>
      <c r="O25" s="372">
        <f t="shared" si="5"/>
        <v>0.40431087570539331</v>
      </c>
      <c r="P25" s="358">
        <f t="shared" si="5"/>
        <v>0.26954058380359552</v>
      </c>
      <c r="Q25" s="358">
        <f t="shared" si="5"/>
        <v>0.23347437639476365</v>
      </c>
      <c r="R25" s="359">
        <f t="shared" si="5"/>
        <v>0.15564958426317574</v>
      </c>
      <c r="S25" s="370">
        <f t="shared" ref="S25:S34" si="6">IFERROR(IF(AND(E25&lt;1,I25&lt;1),$E$21,IF(AND(F25&lt;1,J25&lt;1),$F$21,IF(AND(G25&lt;1,K25&lt;1),$G$21,IF(AND(H25&lt;1,L25&lt;1),$H$21,Surcharge)))),Surcharge)</f>
        <v>600</v>
      </c>
      <c r="T25">
        <f t="shared" ref="T25:T34" si="7">IF(AND(O25&lt;1,Q25&lt;1),$O$23,IF(AND(P25&lt;1,R25&lt;1),$P$23,"Surcharge"))</f>
        <v>2</v>
      </c>
      <c r="U25">
        <f t="shared" ref="U25:U34" si="8">IF(M25&lt;1,$M$23,IF(N25&lt;1,$N$23,"surcharge"))</f>
        <v>2</v>
      </c>
    </row>
    <row r="26" spans="3:21" x14ac:dyDescent="0.3">
      <c r="D26" s="352" t="str">
        <f t="shared" si="4"/>
        <v>Rive</v>
      </c>
      <c r="E26" s="373">
        <f t="shared" ref="E26:R26" si="9">MAX($H10,$I10,ABS($J10))/E$24</f>
        <v>1.7309627497962454</v>
      </c>
      <c r="F26" s="360">
        <f t="shared" si="9"/>
        <v>0.86548137489812271</v>
      </c>
      <c r="G26" s="360" t="e">
        <f t="shared" si="9"/>
        <v>#DIV/0!</v>
      </c>
      <c r="H26" s="360">
        <f t="shared" si="9"/>
        <v>-0.86548137489812271</v>
      </c>
      <c r="I26" s="373">
        <f t="shared" si="9"/>
        <v>3.2467291532401807</v>
      </c>
      <c r="J26" s="360">
        <f t="shared" si="9"/>
        <v>1.6233645766200904</v>
      </c>
      <c r="K26" s="360" t="e">
        <f t="shared" si="9"/>
        <v>#DIV/0!</v>
      </c>
      <c r="L26" s="361">
        <f t="shared" si="9"/>
        <v>-1.6233645766200904</v>
      </c>
      <c r="M26" s="360">
        <f t="shared" si="9"/>
        <v>0.63433625347362388</v>
      </c>
      <c r="N26" s="361">
        <f t="shared" si="9"/>
        <v>0.44038995016497823</v>
      </c>
      <c r="O26" s="373">
        <f t="shared" si="9"/>
        <v>0.89252421270353799</v>
      </c>
      <c r="P26" s="360">
        <f t="shared" si="9"/>
        <v>0.59501614180235862</v>
      </c>
      <c r="Q26" s="360">
        <f t="shared" si="9"/>
        <v>0.51539927936548013</v>
      </c>
      <c r="R26" s="361">
        <f t="shared" si="9"/>
        <v>0.3435995195769867</v>
      </c>
      <c r="S26" s="370" t="str">
        <f t="shared" si="6"/>
        <v>Surcharge</v>
      </c>
      <c r="T26">
        <f t="shared" si="7"/>
        <v>2</v>
      </c>
      <c r="U26">
        <f t="shared" si="8"/>
        <v>2</v>
      </c>
    </row>
    <row r="27" spans="3:21" x14ac:dyDescent="0.3">
      <c r="D27" s="352" t="str">
        <f t="shared" si="4"/>
        <v>égout</v>
      </c>
      <c r="E27" s="373">
        <f t="shared" ref="E27:R27" si="10">MAX($H11,$I11,ABS($J11))/E$24</f>
        <v>0.78412109746987646</v>
      </c>
      <c r="F27" s="360">
        <f t="shared" si="10"/>
        <v>0.39206054873493823</v>
      </c>
      <c r="G27" s="360" t="e">
        <f t="shared" si="10"/>
        <v>#DIV/0!</v>
      </c>
      <c r="H27" s="360">
        <f t="shared" si="10"/>
        <v>-0.39206054873493823</v>
      </c>
      <c r="I27" s="373">
        <f t="shared" si="10"/>
        <v>1.4707588751553475</v>
      </c>
      <c r="J27" s="360">
        <f t="shared" si="10"/>
        <v>0.73537943757767377</v>
      </c>
      <c r="K27" s="360" t="e">
        <f t="shared" si="10"/>
        <v>#DIV/0!</v>
      </c>
      <c r="L27" s="361">
        <f t="shared" si="10"/>
        <v>-0.73537943757767377</v>
      </c>
      <c r="M27" s="360">
        <f t="shared" si="10"/>
        <v>0.28735248017163689</v>
      </c>
      <c r="N27" s="361">
        <f t="shared" si="10"/>
        <v>0.19949536815781566</v>
      </c>
      <c r="O27" s="373">
        <f t="shared" si="10"/>
        <v>0.40431087570539331</v>
      </c>
      <c r="P27" s="360">
        <f t="shared" si="10"/>
        <v>0.26954058380359552</v>
      </c>
      <c r="Q27" s="360">
        <f t="shared" si="10"/>
        <v>0.23347437639476365</v>
      </c>
      <c r="R27" s="361">
        <f t="shared" si="10"/>
        <v>0.15564958426317574</v>
      </c>
      <c r="S27" s="370">
        <f t="shared" si="6"/>
        <v>600</v>
      </c>
      <c r="T27">
        <f t="shared" si="7"/>
        <v>2</v>
      </c>
      <c r="U27">
        <f t="shared" si="8"/>
        <v>2</v>
      </c>
    </row>
    <row r="28" spans="3:21" x14ac:dyDescent="0.3">
      <c r="D28" s="352" t="str">
        <f t="shared" si="4"/>
        <v>Faitage</v>
      </c>
      <c r="E28" s="373">
        <f t="shared" ref="E28:R28" si="11">MAX($H12,$I12,ABS($J12))/E$24</f>
        <v>1.162857758400424</v>
      </c>
      <c r="F28" s="360">
        <f t="shared" si="11"/>
        <v>0.58142887920021202</v>
      </c>
      <c r="G28" s="360" t="e">
        <f t="shared" si="11"/>
        <v>#DIV/0!</v>
      </c>
      <c r="H28" s="360">
        <f t="shared" si="11"/>
        <v>-0.58142887920021202</v>
      </c>
      <c r="I28" s="373">
        <f t="shared" si="11"/>
        <v>2.1811469863892805</v>
      </c>
      <c r="J28" s="360">
        <f t="shared" si="11"/>
        <v>1.0905734931946403</v>
      </c>
      <c r="K28" s="360" t="e">
        <f t="shared" si="11"/>
        <v>#DIV/0!</v>
      </c>
      <c r="L28" s="361">
        <f t="shared" si="11"/>
        <v>-1.0905734931946403</v>
      </c>
      <c r="M28" s="360">
        <f t="shared" si="11"/>
        <v>0.42614598949243165</v>
      </c>
      <c r="N28" s="361">
        <f t="shared" si="11"/>
        <v>0.29585320096068068</v>
      </c>
      <c r="O28" s="373">
        <f t="shared" si="11"/>
        <v>0.59959621050465117</v>
      </c>
      <c r="P28" s="360">
        <f t="shared" si="11"/>
        <v>0.39973080700310071</v>
      </c>
      <c r="Q28" s="360">
        <f t="shared" si="11"/>
        <v>0.34624433758305023</v>
      </c>
      <c r="R28" s="361">
        <f t="shared" si="11"/>
        <v>0.23082955838870012</v>
      </c>
      <c r="S28" s="370" t="str">
        <f t="shared" si="6"/>
        <v>Surcharge</v>
      </c>
      <c r="T28">
        <f t="shared" si="7"/>
        <v>2</v>
      </c>
      <c r="U28">
        <f t="shared" si="8"/>
        <v>2</v>
      </c>
    </row>
    <row r="29" spans="3:21" x14ac:dyDescent="0.3">
      <c r="D29" s="352" t="str">
        <f t="shared" si="4"/>
        <v>Angle inf.</v>
      </c>
      <c r="E29" s="373">
        <f t="shared" ref="E29:R29" si="12">MAX($H13,$I13,ABS($J13))/E$24</f>
        <v>1.4469102540983345</v>
      </c>
      <c r="F29" s="360">
        <f t="shared" si="12"/>
        <v>0.72345512704916726</v>
      </c>
      <c r="G29" s="360" t="e">
        <f t="shared" si="12"/>
        <v>#DIV/0!</v>
      </c>
      <c r="H29" s="360">
        <f t="shared" si="12"/>
        <v>-0.72345512704916726</v>
      </c>
      <c r="I29" s="373">
        <f t="shared" si="12"/>
        <v>2.7139380698147302</v>
      </c>
      <c r="J29" s="360">
        <f t="shared" si="12"/>
        <v>1.3569690349073651</v>
      </c>
      <c r="K29" s="360" t="e">
        <f t="shared" si="12"/>
        <v>#DIV/0!</v>
      </c>
      <c r="L29" s="361">
        <f t="shared" si="12"/>
        <v>-1.3569690349073651</v>
      </c>
      <c r="M29" s="360">
        <f t="shared" si="12"/>
        <v>0.53024112148302771</v>
      </c>
      <c r="N29" s="361">
        <f t="shared" si="12"/>
        <v>0.36812157556282937</v>
      </c>
      <c r="O29" s="373">
        <f t="shared" si="12"/>
        <v>0.74606021160409441</v>
      </c>
      <c r="P29" s="360">
        <f t="shared" si="12"/>
        <v>0.49737347440272955</v>
      </c>
      <c r="Q29" s="360">
        <f t="shared" si="12"/>
        <v>0.4308218084742651</v>
      </c>
      <c r="R29" s="361">
        <f t="shared" si="12"/>
        <v>0.28721453898284338</v>
      </c>
      <c r="S29" s="370" t="str">
        <f t="shared" si="6"/>
        <v>Surcharge</v>
      </c>
      <c r="T29">
        <f t="shared" si="7"/>
        <v>2</v>
      </c>
      <c r="U29">
        <f t="shared" si="8"/>
        <v>2</v>
      </c>
    </row>
    <row r="30" spans="3:21" ht="15" thickBot="1" x14ac:dyDescent="0.35">
      <c r="D30" s="352" t="str">
        <f t="shared" si="4"/>
        <v>Angles Sup.</v>
      </c>
      <c r="E30" s="374">
        <f t="shared" ref="E30:R30" si="13">MAX($H14,$I14,ABS($J14))/E$24</f>
        <v>2.2990677411920668</v>
      </c>
      <c r="F30" s="362">
        <f t="shared" si="13"/>
        <v>1.1495338705960334</v>
      </c>
      <c r="G30" s="362" t="e">
        <f t="shared" si="13"/>
        <v>#DIV/0!</v>
      </c>
      <c r="H30" s="362">
        <f t="shared" si="13"/>
        <v>-1.1495338705960334</v>
      </c>
      <c r="I30" s="374">
        <f t="shared" si="13"/>
        <v>4.3123113200910801</v>
      </c>
      <c r="J30" s="362">
        <f t="shared" si="13"/>
        <v>2.15615566004554</v>
      </c>
      <c r="K30" s="362" t="e">
        <f t="shared" si="13"/>
        <v>#DIV/0!</v>
      </c>
      <c r="L30" s="363">
        <f t="shared" si="13"/>
        <v>-2.15615566004554</v>
      </c>
      <c r="M30" s="360">
        <f t="shared" si="13"/>
        <v>0.84252651745481599</v>
      </c>
      <c r="N30" s="361">
        <f t="shared" si="13"/>
        <v>0.58492669936927566</v>
      </c>
      <c r="O30" s="373">
        <f t="shared" si="13"/>
        <v>1.1854522149024247</v>
      </c>
      <c r="P30" s="360">
        <f t="shared" si="13"/>
        <v>0.79030147660161632</v>
      </c>
      <c r="Q30" s="360">
        <f t="shared" si="13"/>
        <v>0.68455422114790987</v>
      </c>
      <c r="R30" s="361">
        <f t="shared" si="13"/>
        <v>0.45636948076527323</v>
      </c>
      <c r="S30" s="370" t="str">
        <f t="shared" si="6"/>
        <v>Surcharge</v>
      </c>
      <c r="T30">
        <f t="shared" si="7"/>
        <v>3</v>
      </c>
      <c r="U30">
        <f t="shared" si="8"/>
        <v>2</v>
      </c>
    </row>
    <row r="31" spans="3:21" x14ac:dyDescent="0.3">
      <c r="D31" s="349" t="str">
        <f>L9</f>
        <v>Centre</v>
      </c>
      <c r="E31" s="373">
        <f t="shared" ref="E31:R31" si="14">MAX($Q9,$R9,ABS($S9))/E$24</f>
        <v>0.87880526270251325</v>
      </c>
      <c r="F31" s="360">
        <f t="shared" si="14"/>
        <v>0.43940263135125662</v>
      </c>
      <c r="G31" s="360" t="e">
        <f t="shared" si="14"/>
        <v>#DIV/0!</v>
      </c>
      <c r="H31" s="361">
        <f t="shared" si="14"/>
        <v>-0.43940263135125662</v>
      </c>
      <c r="I31" s="373">
        <f t="shared" si="14"/>
        <v>1.6483559029638306</v>
      </c>
      <c r="J31" s="360">
        <f t="shared" si="14"/>
        <v>0.82417795148191531</v>
      </c>
      <c r="K31" s="360" t="e">
        <f t="shared" si="14"/>
        <v>#DIV/0!</v>
      </c>
      <c r="L31" s="361">
        <f t="shared" si="14"/>
        <v>-0.82417795148191531</v>
      </c>
      <c r="M31" s="358">
        <f t="shared" si="14"/>
        <v>0.32205085750183554</v>
      </c>
      <c r="N31" s="359">
        <f t="shared" si="14"/>
        <v>0.22358482635853189</v>
      </c>
      <c r="O31" s="372">
        <f t="shared" si="14"/>
        <v>0.45313220940520776</v>
      </c>
      <c r="P31" s="358">
        <f t="shared" si="14"/>
        <v>0.30208813960347181</v>
      </c>
      <c r="Q31" s="358">
        <f t="shared" si="14"/>
        <v>0.26166686669183525</v>
      </c>
      <c r="R31" s="359">
        <f t="shared" si="14"/>
        <v>0.17444457779455683</v>
      </c>
      <c r="S31" s="370">
        <f t="shared" si="6"/>
        <v>600</v>
      </c>
      <c r="T31">
        <f t="shared" si="7"/>
        <v>2</v>
      </c>
      <c r="U31">
        <f t="shared" si="8"/>
        <v>2</v>
      </c>
    </row>
    <row r="32" spans="3:21" x14ac:dyDescent="0.3">
      <c r="D32" s="352" t="str">
        <f>L10</f>
        <v>Rive</v>
      </c>
      <c r="E32" s="373">
        <f t="shared" ref="E32:R32" si="15">MAX($Q10,$R10,ABS($S10))/E$24</f>
        <v>1.162857758400424</v>
      </c>
      <c r="F32" s="360">
        <f t="shared" si="15"/>
        <v>0.58142887920021202</v>
      </c>
      <c r="G32" s="360" t="e">
        <f t="shared" si="15"/>
        <v>#DIV/0!</v>
      </c>
      <c r="H32" s="361">
        <f t="shared" si="15"/>
        <v>-0.58142887920021202</v>
      </c>
      <c r="I32" s="373">
        <f t="shared" si="15"/>
        <v>2.1811469863892805</v>
      </c>
      <c r="J32" s="360">
        <f t="shared" si="15"/>
        <v>1.0905734931946403</v>
      </c>
      <c r="K32" s="360" t="e">
        <f t="shared" si="15"/>
        <v>#DIV/0!</v>
      </c>
      <c r="L32" s="361">
        <f t="shared" si="15"/>
        <v>-1.0905734931946403</v>
      </c>
      <c r="M32" s="360">
        <f t="shared" si="15"/>
        <v>0.42614598949243165</v>
      </c>
      <c r="N32" s="361">
        <f t="shared" si="15"/>
        <v>0.29585320096068068</v>
      </c>
      <c r="O32" s="373">
        <f t="shared" si="15"/>
        <v>0.59959621050465117</v>
      </c>
      <c r="P32" s="360">
        <f t="shared" si="15"/>
        <v>0.39973080700310071</v>
      </c>
      <c r="Q32" s="360">
        <f t="shared" si="15"/>
        <v>0.34624433758305023</v>
      </c>
      <c r="R32" s="361">
        <f t="shared" si="15"/>
        <v>0.23082955838870012</v>
      </c>
      <c r="S32" s="370" t="str">
        <f t="shared" si="6"/>
        <v>Surcharge</v>
      </c>
      <c r="T32">
        <f t="shared" si="7"/>
        <v>2</v>
      </c>
      <c r="U32">
        <f t="shared" si="8"/>
        <v>2</v>
      </c>
    </row>
    <row r="33" spans="4:21" x14ac:dyDescent="0.3">
      <c r="D33" s="352" t="str">
        <f>L11</f>
        <v>Egout</v>
      </c>
      <c r="E33" s="373">
        <f t="shared" ref="E33:R33" si="16">MAX($Q11,$R11,ABS($S11))/E$24</f>
        <v>0.68943693223723945</v>
      </c>
      <c r="F33" s="360">
        <f t="shared" si="16"/>
        <v>0.34471846611861973</v>
      </c>
      <c r="G33" s="360" t="e">
        <f t="shared" si="16"/>
        <v>#DIV/0!</v>
      </c>
      <c r="H33" s="361">
        <f t="shared" si="16"/>
        <v>-0.34471846611861973</v>
      </c>
      <c r="I33" s="373">
        <f t="shared" si="16"/>
        <v>1.2931618473468638</v>
      </c>
      <c r="J33" s="360">
        <f t="shared" si="16"/>
        <v>0.6465809236734319</v>
      </c>
      <c r="K33" s="360" t="e">
        <f t="shared" si="16"/>
        <v>#DIV/0!</v>
      </c>
      <c r="L33" s="361">
        <f t="shared" si="16"/>
        <v>-0.6465809236734319</v>
      </c>
      <c r="M33" s="360">
        <f t="shared" si="16"/>
        <v>0.25265410284143813</v>
      </c>
      <c r="N33" s="361">
        <f t="shared" si="16"/>
        <v>0.17540590995709934</v>
      </c>
      <c r="O33" s="373">
        <f t="shared" si="16"/>
        <v>0.35548954200557881</v>
      </c>
      <c r="P33" s="360">
        <f t="shared" si="16"/>
        <v>0.23699302800371916</v>
      </c>
      <c r="Q33" s="360">
        <f t="shared" si="16"/>
        <v>0.20528188609769196</v>
      </c>
      <c r="R33" s="361">
        <f t="shared" si="16"/>
        <v>0.13685459073179462</v>
      </c>
      <c r="S33" s="370">
        <f t="shared" si="6"/>
        <v>600</v>
      </c>
      <c r="T33">
        <f t="shared" si="7"/>
        <v>2</v>
      </c>
      <c r="U33">
        <f t="shared" si="8"/>
        <v>2</v>
      </c>
    </row>
    <row r="34" spans="4:21" ht="15" thickBot="1" x14ac:dyDescent="0.35">
      <c r="D34" s="364" t="str">
        <f>L12</f>
        <v>Angle inf.</v>
      </c>
      <c r="E34" s="374">
        <f t="shared" ref="E34:R34" si="17">MAX($Q12,$R12,ABS($S12))/E$24</f>
        <v>1.162857758400424</v>
      </c>
      <c r="F34" s="362">
        <f t="shared" si="17"/>
        <v>0.58142887920021202</v>
      </c>
      <c r="G34" s="362" t="e">
        <f t="shared" si="17"/>
        <v>#DIV/0!</v>
      </c>
      <c r="H34" s="363">
        <f t="shared" si="17"/>
        <v>-0.58142887920021202</v>
      </c>
      <c r="I34" s="374">
        <f t="shared" si="17"/>
        <v>2.1811469863892805</v>
      </c>
      <c r="J34" s="362">
        <f t="shared" si="17"/>
        <v>1.0905734931946403</v>
      </c>
      <c r="K34" s="362" t="e">
        <f t="shared" si="17"/>
        <v>#DIV/0!</v>
      </c>
      <c r="L34" s="363">
        <f t="shared" si="17"/>
        <v>-1.0905734931946403</v>
      </c>
      <c r="M34" s="362">
        <f t="shared" si="17"/>
        <v>0.42614598949243165</v>
      </c>
      <c r="N34" s="363">
        <f t="shared" si="17"/>
        <v>0.29585320096068068</v>
      </c>
      <c r="O34" s="374">
        <f t="shared" si="17"/>
        <v>0.59959621050465117</v>
      </c>
      <c r="P34" s="362">
        <f t="shared" si="17"/>
        <v>0.39973080700310071</v>
      </c>
      <c r="Q34" s="362">
        <f t="shared" si="17"/>
        <v>0.34624433758305023</v>
      </c>
      <c r="R34" s="363">
        <f t="shared" si="17"/>
        <v>0.23082955838870012</v>
      </c>
      <c r="S34" s="370" t="str">
        <f t="shared" si="6"/>
        <v>Surcharge</v>
      </c>
      <c r="T34">
        <f t="shared" si="7"/>
        <v>2</v>
      </c>
      <c r="U34">
        <f t="shared" si="8"/>
        <v>2</v>
      </c>
    </row>
  </sheetData>
  <conditionalFormatting sqref="E25:R34">
    <cfRule type="cellIs" dxfId="3" priority="1" operator="greaterThan">
      <formula>1</formula>
    </cfRule>
    <cfRule type="cellIs" dxfId="2" priority="2" operator="between">
      <formula>0.9</formula>
      <formula>1</formula>
    </cfRule>
    <cfRule type="cellIs" dxfId="1" priority="3" operator="between">
      <formula>0</formula>
      <formula>0.8</formula>
    </cfRule>
    <cfRule type="cellIs" dxfId="0" priority="4" operator="between">
      <formula>0.8</formula>
      <formula>0.9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B50DB-6B7A-4601-85CB-1F7DBB0FD631}">
  <sheetPr codeName="Feuil2"/>
  <dimension ref="A2:T28"/>
  <sheetViews>
    <sheetView showZeros="0" zoomScale="78" zoomScaleNormal="100" workbookViewId="0">
      <selection activeCell="E5" sqref="E5"/>
    </sheetView>
  </sheetViews>
  <sheetFormatPr baseColWidth="10" defaultColWidth="11.5546875" defaultRowHeight="14.4" x14ac:dyDescent="0.3"/>
  <cols>
    <col min="1" max="1" width="14.44140625" bestFit="1" customWidth="1"/>
    <col min="2" max="2" width="30.44140625" bestFit="1" customWidth="1"/>
    <col min="3" max="7" width="14.44140625" style="15" customWidth="1"/>
    <col min="8" max="8" width="5.21875" customWidth="1"/>
    <col min="14" max="14" width="4.44140625" bestFit="1" customWidth="1"/>
    <col min="15" max="15" width="24.6640625" bestFit="1" customWidth="1"/>
    <col min="16" max="17" width="5.109375" bestFit="1" customWidth="1"/>
  </cols>
  <sheetData>
    <row r="2" spans="1:15" x14ac:dyDescent="0.3">
      <c r="C2" s="12" t="s">
        <v>17</v>
      </c>
      <c r="D2" s="13" t="s">
        <v>50</v>
      </c>
      <c r="E2" s="13" t="s">
        <v>12</v>
      </c>
      <c r="F2" s="13" t="s">
        <v>18</v>
      </c>
      <c r="G2" s="14" t="s">
        <v>24</v>
      </c>
      <c r="I2" s="12" t="s">
        <v>17</v>
      </c>
      <c r="J2" s="13" t="s">
        <v>50</v>
      </c>
      <c r="K2" s="13" t="s">
        <v>12</v>
      </c>
      <c r="L2" s="13" t="s">
        <v>18</v>
      </c>
      <c r="M2" s="14" t="s">
        <v>24</v>
      </c>
    </row>
    <row r="3" spans="1:15" x14ac:dyDescent="0.3">
      <c r="B3" s="22" t="str">
        <f>Logistique!I18</f>
        <v>Crochet standard réglable V3</v>
      </c>
      <c r="C3" s="3" t="s">
        <v>23</v>
      </c>
      <c r="D3" s="4" t="s">
        <v>23</v>
      </c>
      <c r="E3" s="4"/>
      <c r="F3" s="4"/>
      <c r="G3" s="5"/>
      <c r="I3" s="3">
        <v>1</v>
      </c>
      <c r="J3" s="4">
        <v>1</v>
      </c>
      <c r="K3" s="4"/>
      <c r="L3" s="4"/>
      <c r="M3" s="5">
        <f>IF(G3="x",LARGE($M$2:$M2,1)+1,0)</f>
        <v>0</v>
      </c>
    </row>
    <row r="4" spans="1:15" x14ac:dyDescent="0.3">
      <c r="B4" s="23" t="str">
        <f>Logistique!I21</f>
        <v>Crochet ardoises</v>
      </c>
      <c r="C4" s="6"/>
      <c r="D4" s="7"/>
      <c r="E4" s="7" t="s">
        <v>23</v>
      </c>
      <c r="F4" s="7"/>
      <c r="G4" s="8"/>
      <c r="I4" s="6"/>
      <c r="J4" s="7"/>
      <c r="K4" s="7">
        <v>1</v>
      </c>
      <c r="L4" s="7"/>
      <c r="M4" s="8">
        <f>IF(G4="x",LARGE($M$2:$M3,1)+1,0)</f>
        <v>0</v>
      </c>
    </row>
    <row r="5" spans="1:15" x14ac:dyDescent="0.3">
      <c r="B5" s="23" t="str">
        <f>Logistique!I20</f>
        <v xml:space="preserve">Crochets tuiles Plates 90° V3 - IZIPV </v>
      </c>
      <c r="C5" s="6"/>
      <c r="D5" s="7"/>
      <c r="E5" s="7"/>
      <c r="F5" s="7" t="s">
        <v>23</v>
      </c>
      <c r="G5" s="8"/>
      <c r="I5" s="6"/>
      <c r="J5" s="7"/>
      <c r="K5" s="7"/>
      <c r="L5" s="7">
        <v>1</v>
      </c>
      <c r="M5" s="8">
        <f>IF(G5="x",LARGE($M$2:$M4,1)+1,0)</f>
        <v>0</v>
      </c>
    </row>
    <row r="6" spans="1:15" x14ac:dyDescent="0.3">
      <c r="B6" s="23" t="str">
        <f>Logistique!I19</f>
        <v>Tire-fond M10*200 V3 - IZIPV</v>
      </c>
      <c r="C6" s="6"/>
      <c r="D6" s="7"/>
      <c r="E6" s="7"/>
      <c r="F6" s="7"/>
      <c r="G6" s="8" t="str">
        <f>IF(choix_panne=Données!$C$10,"x","")</f>
        <v>x</v>
      </c>
      <c r="I6" s="6"/>
      <c r="J6" s="7"/>
      <c r="K6" s="7"/>
      <c r="L6" s="7"/>
      <c r="M6" s="8">
        <f>IF(G6="x",LARGE($M$2:$M5,1)+1,0)</f>
        <v>1</v>
      </c>
    </row>
    <row r="7" spans="1:15" x14ac:dyDescent="0.3">
      <c r="B7" s="23" t="str">
        <f>Logistique!I22</f>
        <v>Goujon métal</v>
      </c>
      <c r="C7" s="6"/>
      <c r="D7" s="7"/>
      <c r="E7" s="7"/>
      <c r="F7" s="7"/>
      <c r="G7" s="8" t="str">
        <f>IF(choix_panne=Données!$D$10,"x","")</f>
        <v/>
      </c>
      <c r="I7" s="6"/>
      <c r="J7" s="7"/>
      <c r="K7" s="7"/>
      <c r="L7" s="7"/>
      <c r="M7" s="8">
        <f>IF(G7="x",LARGE($M$2:$M6,1)+1,0)</f>
        <v>0</v>
      </c>
    </row>
    <row r="8" spans="1:15" x14ac:dyDescent="0.3">
      <c r="B8" s="24" t="str">
        <f>Logistique!I17</f>
        <v>Crochets Standard TMH V3 - IZIPV</v>
      </c>
      <c r="C8" s="9" t="s">
        <v>23</v>
      </c>
      <c r="D8" s="10" t="s">
        <v>23</v>
      </c>
      <c r="E8" s="10"/>
      <c r="F8" s="10"/>
      <c r="G8" s="11"/>
      <c r="I8" s="9">
        <v>2</v>
      </c>
      <c r="J8" s="10">
        <v>2</v>
      </c>
      <c r="K8" s="10"/>
      <c r="L8" s="10"/>
      <c r="M8" s="11">
        <f>IF(G8="x",LARGE($M$2:$M7,1)+1,0)</f>
        <v>0</v>
      </c>
    </row>
    <row r="10" spans="1:15" x14ac:dyDescent="0.3">
      <c r="B10" s="1" t="s">
        <v>22</v>
      </c>
      <c r="C10" s="2" t="str">
        <f>C$2</f>
        <v>Tuile méca</v>
      </c>
      <c r="D10" s="2" t="str">
        <f t="shared" ref="D10:G10" si="0">D$2</f>
        <v>Tuile méca TMH</v>
      </c>
      <c r="E10" s="2" t="str">
        <f t="shared" si="0"/>
        <v>Ardoise</v>
      </c>
      <c r="F10" s="2" t="str">
        <f t="shared" si="0"/>
        <v>Tuile plate</v>
      </c>
      <c r="G10" s="2" t="str">
        <f t="shared" si="0"/>
        <v>Fibrociment</v>
      </c>
      <c r="I10" s="2" t="s">
        <v>17</v>
      </c>
      <c r="J10" s="2" t="s">
        <v>50</v>
      </c>
      <c r="K10" s="2" t="s">
        <v>12</v>
      </c>
      <c r="L10" s="2" t="s">
        <v>18</v>
      </c>
      <c r="M10" s="2" t="s">
        <v>24</v>
      </c>
      <c r="O10" s="1" t="s">
        <v>22</v>
      </c>
    </row>
    <row r="11" spans="1:15" x14ac:dyDescent="0.3">
      <c r="A11">
        <v>1</v>
      </c>
      <c r="B11" s="168" t="str">
        <f t="shared" ref="B11:B16" si="1">HLOOKUP(choix_couv,$I$10:$M$16,$A11+1,FALSE)</f>
        <v>Crochet standard réglable V3</v>
      </c>
      <c r="C11" s="16"/>
      <c r="D11" s="16"/>
      <c r="E11" s="16"/>
      <c r="F11" s="16"/>
      <c r="G11" s="16"/>
      <c r="I11" s="16" t="str">
        <f>IFERROR(INDEX(Crochets,MATCH($A11,I$3:I$8,0)),"")</f>
        <v>Crochet standard réglable V3</v>
      </c>
      <c r="J11" s="16" t="str">
        <f t="shared" ref="I11:M16" si="2">IFERROR(INDEX(Crochets,MATCH($A11,J$3:J$8,0)),"")</f>
        <v>Crochet standard réglable V3</v>
      </c>
      <c r="K11" s="16" t="str">
        <f t="shared" si="2"/>
        <v>Crochet ardoises</v>
      </c>
      <c r="L11" s="16" t="str">
        <f t="shared" si="2"/>
        <v xml:space="preserve">Crochets tuiles Plates 90° V3 - IZIPV </v>
      </c>
      <c r="M11" s="16" t="str">
        <f t="shared" si="2"/>
        <v>Tire-fond M10*200 V3 - IZIPV</v>
      </c>
      <c r="N11" t="s">
        <v>135</v>
      </c>
    </row>
    <row r="12" spans="1:15" x14ac:dyDescent="0.3">
      <c r="A12">
        <v>2</v>
      </c>
      <c r="B12" s="168" t="str">
        <f t="shared" si="1"/>
        <v>Crochets Standard TMH V3 - IZIPV</v>
      </c>
      <c r="C12" s="16"/>
      <c r="D12" s="16"/>
      <c r="E12" s="16"/>
      <c r="F12" s="16"/>
      <c r="G12" s="16"/>
      <c r="I12" s="16" t="str">
        <f t="shared" si="2"/>
        <v>Crochets Standard TMH V3 - IZIPV</v>
      </c>
      <c r="J12" s="16" t="str">
        <f t="shared" si="2"/>
        <v>Crochets Standard TMH V3 - IZIPV</v>
      </c>
      <c r="K12" s="16" t="str">
        <f t="shared" si="2"/>
        <v/>
      </c>
      <c r="L12" s="16" t="str">
        <f t="shared" si="2"/>
        <v/>
      </c>
      <c r="M12" s="16" t="str">
        <f t="shared" si="2"/>
        <v/>
      </c>
    </row>
    <row r="13" spans="1:15" x14ac:dyDescent="0.3">
      <c r="A13">
        <v>3</v>
      </c>
      <c r="B13" s="168" t="str">
        <f t="shared" si="1"/>
        <v/>
      </c>
      <c r="C13" s="16"/>
      <c r="D13" s="16"/>
      <c r="E13" s="16"/>
      <c r="F13" s="16"/>
      <c r="G13" s="16"/>
      <c r="I13" s="16" t="str">
        <f t="shared" si="2"/>
        <v/>
      </c>
      <c r="J13" s="16" t="str">
        <f t="shared" si="2"/>
        <v/>
      </c>
      <c r="K13" s="16" t="str">
        <f t="shared" si="2"/>
        <v/>
      </c>
      <c r="L13" s="16" t="str">
        <f t="shared" si="2"/>
        <v/>
      </c>
      <c r="M13" s="16" t="str">
        <f t="shared" si="2"/>
        <v/>
      </c>
    </row>
    <row r="14" spans="1:15" x14ac:dyDescent="0.3">
      <c r="A14">
        <v>4</v>
      </c>
      <c r="B14" s="168" t="str">
        <f t="shared" si="1"/>
        <v/>
      </c>
      <c r="C14" s="16"/>
      <c r="D14" s="16"/>
      <c r="E14" s="17"/>
      <c r="F14" s="16"/>
      <c r="G14" s="16"/>
      <c r="I14" s="16" t="str">
        <f t="shared" si="2"/>
        <v/>
      </c>
      <c r="J14" s="16" t="str">
        <f t="shared" si="2"/>
        <v/>
      </c>
      <c r="K14" s="16" t="str">
        <f t="shared" si="2"/>
        <v/>
      </c>
      <c r="L14" s="16" t="str">
        <f t="shared" si="2"/>
        <v/>
      </c>
      <c r="M14" s="16" t="str">
        <f t="shared" si="2"/>
        <v/>
      </c>
    </row>
    <row r="15" spans="1:15" x14ac:dyDescent="0.3">
      <c r="A15">
        <v>5</v>
      </c>
      <c r="B15" s="168" t="str">
        <f t="shared" si="1"/>
        <v/>
      </c>
      <c r="C15" s="16"/>
      <c r="D15" s="16"/>
      <c r="E15" s="17"/>
      <c r="F15" s="16"/>
      <c r="G15" s="16"/>
      <c r="I15" s="16" t="str">
        <f t="shared" si="2"/>
        <v/>
      </c>
      <c r="J15" s="16" t="str">
        <f t="shared" si="2"/>
        <v/>
      </c>
      <c r="K15" s="16" t="str">
        <f t="shared" si="2"/>
        <v/>
      </c>
      <c r="L15" s="16" t="str">
        <f t="shared" si="2"/>
        <v/>
      </c>
      <c r="M15" s="16" t="str">
        <f t="shared" si="2"/>
        <v/>
      </c>
    </row>
    <row r="16" spans="1:15" x14ac:dyDescent="0.3">
      <c r="A16">
        <v>6</v>
      </c>
      <c r="B16" s="168" t="str">
        <f t="shared" si="1"/>
        <v/>
      </c>
      <c r="C16" s="16"/>
      <c r="D16" s="16"/>
      <c r="E16" s="16"/>
      <c r="F16" s="16"/>
      <c r="G16" s="16"/>
      <c r="I16" s="16" t="str">
        <f t="shared" si="2"/>
        <v/>
      </c>
      <c r="J16" s="16" t="str">
        <f t="shared" si="2"/>
        <v/>
      </c>
      <c r="K16" s="16" t="str">
        <f t="shared" si="2"/>
        <v/>
      </c>
      <c r="L16" s="16" t="str">
        <f t="shared" si="2"/>
        <v/>
      </c>
      <c r="M16" s="16" t="str">
        <f t="shared" si="2"/>
        <v/>
      </c>
    </row>
    <row r="18" spans="1:20" x14ac:dyDescent="0.3">
      <c r="B18" s="20" t="s">
        <v>25</v>
      </c>
      <c r="C18" s="21" t="str">
        <f>C$2</f>
        <v>Tuile méca</v>
      </c>
      <c r="D18" s="18" t="str">
        <f t="shared" ref="D18:G18" si="3">D$2</f>
        <v>Tuile méca TMH</v>
      </c>
      <c r="E18" s="18" t="str">
        <f t="shared" si="3"/>
        <v>Ardoise</v>
      </c>
      <c r="F18" s="18" t="str">
        <f t="shared" si="3"/>
        <v>Tuile plate</v>
      </c>
      <c r="G18" s="19" t="str">
        <f t="shared" si="3"/>
        <v>Fibrociment</v>
      </c>
      <c r="I18" s="15"/>
      <c r="J18" s="15"/>
      <c r="K18" s="15"/>
      <c r="L18" s="15"/>
      <c r="M18" s="167"/>
      <c r="N18" s="512" t="str">
        <f>G18</f>
        <v>Fibrociment</v>
      </c>
      <c r="O18" s="512"/>
      <c r="P18" s="512"/>
      <c r="Q18" s="513"/>
      <c r="R18" s="45" t="s">
        <v>29</v>
      </c>
      <c r="S18" s="46" t="s">
        <v>30</v>
      </c>
      <c r="T18" s="47" t="s">
        <v>31</v>
      </c>
    </row>
    <row r="19" spans="1:20" x14ac:dyDescent="0.3">
      <c r="A19" s="25" t="s">
        <v>26</v>
      </c>
      <c r="B19" s="30">
        <f>ROUNDUP(HLOOKUP(choix_couv,Dom_emploi,2,FALSE)+DEGREES(ATAN(6/100)),1)</f>
        <v>13.5</v>
      </c>
      <c r="C19" s="28">
        <v>10</v>
      </c>
      <c r="D19" s="4">
        <v>10</v>
      </c>
      <c r="E19" s="4">
        <v>10</v>
      </c>
      <c r="F19" s="4">
        <v>10</v>
      </c>
      <c r="G19" s="48">
        <v>5.7</v>
      </c>
      <c r="N19" s="39">
        <v>9</v>
      </c>
      <c r="O19" s="40">
        <v>10</v>
      </c>
      <c r="P19" s="36">
        <f>DEGREES(ATAN(N19/100))</f>
        <v>5.1427645578842416</v>
      </c>
      <c r="Q19" s="33">
        <f>DEGREES(ATAN(O19/100))</f>
        <v>5.710593137499643</v>
      </c>
      <c r="R19" s="3">
        <v>15</v>
      </c>
      <c r="S19" s="4">
        <v>12</v>
      </c>
      <c r="T19" s="5">
        <v>10</v>
      </c>
    </row>
    <row r="20" spans="1:20" x14ac:dyDescent="0.3">
      <c r="A20" s="25" t="s">
        <v>27</v>
      </c>
      <c r="B20" s="31">
        <f>ROUNDUP(HLOOKUP(choix_couv,Dom_emploi,3,FALSE),1)</f>
        <v>50</v>
      </c>
      <c r="C20" s="29">
        <v>50</v>
      </c>
      <c r="D20" s="7">
        <v>50</v>
      </c>
      <c r="E20" s="7">
        <v>60</v>
      </c>
      <c r="F20" s="7">
        <v>50</v>
      </c>
      <c r="G20" s="8">
        <v>60</v>
      </c>
      <c r="N20" s="41">
        <v>10</v>
      </c>
      <c r="O20" s="42">
        <v>13</v>
      </c>
      <c r="P20" s="37">
        <f t="shared" ref="P20:Q21" si="4">DEGREES(ATAN(N20/100))</f>
        <v>5.710593137499643</v>
      </c>
      <c r="Q20" s="34">
        <f t="shared" si="4"/>
        <v>7.4069121284952297</v>
      </c>
      <c r="R20" s="6">
        <v>20</v>
      </c>
      <c r="S20" s="7">
        <v>15</v>
      </c>
      <c r="T20" s="8">
        <v>12</v>
      </c>
    </row>
    <row r="21" spans="1:20" x14ac:dyDescent="0.3">
      <c r="A21" s="25" t="s">
        <v>28</v>
      </c>
      <c r="B21" s="32">
        <f>ROUNDUP(HLOOKUP(choix_couv,Dom_emploi,4,FALSE),1)</f>
        <v>12</v>
      </c>
      <c r="C21" s="26">
        <v>12</v>
      </c>
      <c r="D21" s="26">
        <v>12</v>
      </c>
      <c r="E21" s="26">
        <v>12</v>
      </c>
      <c r="F21" s="26">
        <v>12</v>
      </c>
      <c r="G21" s="27">
        <v>12</v>
      </c>
      <c r="N21" s="41">
        <v>13</v>
      </c>
      <c r="O21" s="42">
        <v>16</v>
      </c>
      <c r="P21" s="37">
        <f t="shared" si="4"/>
        <v>7.4069121284952297</v>
      </c>
      <c r="Q21" s="34">
        <f t="shared" si="4"/>
        <v>9.0902769208223226</v>
      </c>
      <c r="R21" s="6">
        <v>25</v>
      </c>
      <c r="S21" s="7">
        <v>20</v>
      </c>
      <c r="T21" s="8">
        <v>15</v>
      </c>
    </row>
    <row r="22" spans="1:20" x14ac:dyDescent="0.3">
      <c r="A22" s="25"/>
      <c r="B22" s="54"/>
      <c r="N22" s="41">
        <v>16</v>
      </c>
      <c r="O22" s="42">
        <v>21</v>
      </c>
      <c r="P22" s="37">
        <f>DEGREES(ATAN(N22/100))</f>
        <v>9.0902769208223226</v>
      </c>
      <c r="Q22" s="34">
        <f>DEGREES(ATAN(O22/100))</f>
        <v>11.859779120947978</v>
      </c>
      <c r="R22" s="6">
        <v>30</v>
      </c>
      <c r="S22" s="7">
        <v>25</v>
      </c>
      <c r="T22" s="8">
        <v>20</v>
      </c>
    </row>
    <row r="23" spans="1:20" x14ac:dyDescent="0.3">
      <c r="A23" s="25"/>
      <c r="B23" s="53"/>
      <c r="N23" s="41">
        <v>21</v>
      </c>
      <c r="O23" s="42">
        <v>26</v>
      </c>
      <c r="P23" s="37">
        <f>DEGREES(ATAN(N23/100))</f>
        <v>11.859779120947978</v>
      </c>
      <c r="Q23" s="34">
        <f>DEGREES(ATAN(O23/100))</f>
        <v>14.574216198038739</v>
      </c>
      <c r="R23" s="6">
        <v>35</v>
      </c>
      <c r="S23" s="7">
        <v>30</v>
      </c>
      <c r="T23" s="8">
        <v>25</v>
      </c>
    </row>
    <row r="24" spans="1:20" x14ac:dyDescent="0.3">
      <c r="N24" s="43">
        <v>26</v>
      </c>
      <c r="O24" s="44"/>
      <c r="P24" s="38">
        <f>DEGREES(ATAN(N24/100))</f>
        <v>14.574216198038739</v>
      </c>
      <c r="Q24" s="35">
        <v>60</v>
      </c>
      <c r="R24" s="9">
        <v>40</v>
      </c>
      <c r="S24" s="10">
        <v>35</v>
      </c>
      <c r="T24" s="11">
        <v>30</v>
      </c>
    </row>
    <row r="25" spans="1:20" x14ac:dyDescent="0.3">
      <c r="B25" s="20" t="s">
        <v>37</v>
      </c>
      <c r="C25" s="21" t="str">
        <f>C$2</f>
        <v>Tuile méca</v>
      </c>
      <c r="D25" s="18" t="str">
        <f t="shared" ref="D25:G25" si="5">D$2</f>
        <v>Tuile méca TMH</v>
      </c>
      <c r="E25" s="18" t="str">
        <f t="shared" si="5"/>
        <v>Ardoise</v>
      </c>
      <c r="F25" s="18" t="str">
        <f t="shared" si="5"/>
        <v>Tuile plate</v>
      </c>
      <c r="G25" s="19" t="str">
        <f t="shared" si="5"/>
        <v>Fibrociment</v>
      </c>
    </row>
    <row r="26" spans="1:20" x14ac:dyDescent="0.3">
      <c r="A26">
        <v>1</v>
      </c>
      <c r="B26" s="168" t="str">
        <f>HLOOKUP(choix_couv,$C$25:$G$28,$A26+1,FALSE)</f>
        <v>Portrait - Rail horizontal</v>
      </c>
      <c r="C26" s="50" t="str">
        <f>Données!$H$4</f>
        <v>Portrait - Rail horizontal</v>
      </c>
      <c r="D26" s="50" t="str">
        <f>Données!$H$4</f>
        <v>Portrait - Rail horizontal</v>
      </c>
      <c r="E26" s="50" t="str">
        <f>Données!$H$4</f>
        <v>Portrait - Rail horizontal</v>
      </c>
      <c r="F26" s="50" t="str">
        <f>Données!$H$4</f>
        <v>Portrait - Rail horizontal</v>
      </c>
      <c r="G26" s="50" t="str">
        <f>Données!$H$7</f>
        <v>Paysage - Rail vertical</v>
      </c>
    </row>
    <row r="27" spans="1:20" x14ac:dyDescent="0.3">
      <c r="A27">
        <v>2</v>
      </c>
      <c r="B27" s="168" t="str">
        <f>HLOOKUP(choix_couv,$C$25:$G$28,$A27+1,FALSE)</f>
        <v>Paysage - Rail horizontal</v>
      </c>
      <c r="C27" s="50" t="str">
        <f>Données!$H$5</f>
        <v>Paysage - Rail horizontal</v>
      </c>
      <c r="D27" s="50" t="str">
        <f>Données!$H$5</f>
        <v>Paysage - Rail horizontal</v>
      </c>
      <c r="E27" s="50" t="str">
        <f>Données!$H$5</f>
        <v>Paysage - Rail horizontal</v>
      </c>
      <c r="F27" s="50" t="str">
        <f>Données!$H$5</f>
        <v>Paysage - Rail horizontal</v>
      </c>
      <c r="G27" s="50"/>
    </row>
    <row r="28" spans="1:20" x14ac:dyDescent="0.3">
      <c r="A28">
        <v>3</v>
      </c>
      <c r="B28" s="168" t="str">
        <f>HLOOKUP(choix_couv,$C$25:$G$28,$A28+1,FALSE)</f>
        <v>Paysage - Rail Croisé</v>
      </c>
      <c r="C28" s="50" t="str">
        <f>Données!$H$6</f>
        <v>Paysage - Rail Croisé</v>
      </c>
      <c r="D28" s="50" t="str">
        <f>Données!$H$6</f>
        <v>Paysage - Rail Croisé</v>
      </c>
      <c r="E28" s="50" t="str">
        <f>Données!$H$6</f>
        <v>Paysage - Rail Croisé</v>
      </c>
      <c r="F28" s="50" t="str">
        <f>Données!$H$6</f>
        <v>Paysage - Rail Croisé</v>
      </c>
      <c r="G28" s="50"/>
    </row>
  </sheetData>
  <sheetProtection selectLockedCells="1"/>
  <mergeCells count="1">
    <mergeCell ref="N18:Q18"/>
  </mergeCells>
  <pageMargins left="0.7" right="0.7" top="0.75" bottom="0.75" header="0.3" footer="0.3"/>
  <pageSetup paperSize="9" orientation="portrait" horizontalDpi="4294967293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C30616907C1446930ECD7D0ADA750D" ma:contentTypeVersion="19" ma:contentTypeDescription="Crée un document." ma:contentTypeScope="" ma:versionID="ac00dd60357cbf44a5bfbee3c494ec77">
  <xsd:schema xmlns:xsd="http://www.w3.org/2001/XMLSchema" xmlns:xs="http://www.w3.org/2001/XMLSchema" xmlns:p="http://schemas.microsoft.com/office/2006/metadata/properties" xmlns:ns2="5fbeca1a-27c0-418a-b935-a6a9aab440cb" xmlns:ns3="1653c748-3bd5-4248-8c47-749a52c307c5" targetNamespace="http://schemas.microsoft.com/office/2006/metadata/properties" ma:root="true" ma:fieldsID="cee0c8d4730060aa232d1336e579d273" ns2:_="" ns3:_="">
    <xsd:import namespace="5fbeca1a-27c0-418a-b935-a6a9aab440cb"/>
    <xsd:import namespace="1653c748-3bd5-4248-8c47-749a52c307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eca1a-27c0-418a-b935-a6a9aab440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1486e880-fb2f-4335-a3f6-84365c4003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État de validation" ma:internalName="_x00c9_tat_x0020_de_x0020_validation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53c748-3bd5-4248-8c47-749a52c307c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ffc7c3-b58f-46c3-849b-10c1b662026d}" ma:internalName="TaxCatchAll" ma:showField="CatchAllData" ma:web="1653c748-3bd5-4248-8c47-749a52c307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fbeca1a-27c0-418a-b935-a6a9aab440cb">
      <Terms xmlns="http://schemas.microsoft.com/office/infopath/2007/PartnerControls"/>
    </lcf76f155ced4ddcb4097134ff3c332f>
    <_Flow_SignoffStatus xmlns="5fbeca1a-27c0-418a-b935-a6a9aab440cb" xsi:nil="true"/>
    <TaxCatchAll xmlns="1653c748-3bd5-4248-8c47-749a52c307c5" xsi:nil="true"/>
  </documentManagement>
</p:properties>
</file>

<file path=customXml/itemProps1.xml><?xml version="1.0" encoding="utf-8"?>
<ds:datastoreItem xmlns:ds="http://schemas.openxmlformats.org/officeDocument/2006/customXml" ds:itemID="{643C18FF-4E8F-47F5-8583-AB332A6B3F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beca1a-27c0-418a-b935-a6a9aab440cb"/>
    <ds:schemaRef ds:uri="1653c748-3bd5-4248-8c47-749a52c307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AB3F18-15F9-405A-82F5-350AB00E84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542582-595D-49E8-A374-9B2314B93FD4}">
  <ds:schemaRefs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d6015626-5494-4237-8275-c646a6726a25"/>
    <ds:schemaRef ds:uri="http://schemas.microsoft.com/office/2006/metadata/properties"/>
    <ds:schemaRef ds:uri="5fbeca1a-27c0-418a-b935-a6a9aab440cb"/>
    <ds:schemaRef ds:uri="1653c748-3bd5-4248-8c47-749a52c307c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117</vt:i4>
      </vt:variant>
    </vt:vector>
  </HeadingPairs>
  <TitlesOfParts>
    <vt:vector size="126" baseType="lpstr">
      <vt:lpstr>Configurateur IZI-PV</vt:lpstr>
      <vt:lpstr>Bon de commande</vt:lpstr>
      <vt:lpstr>Données</vt:lpstr>
      <vt:lpstr>Logistique</vt:lpstr>
      <vt:lpstr>Mécanique</vt:lpstr>
      <vt:lpstr>EC1-Vent</vt:lpstr>
      <vt:lpstr>EC1-Neige</vt:lpstr>
      <vt:lpstr>EC1 - CC</vt:lpstr>
      <vt:lpstr>Config type</vt:lpstr>
      <vt:lpstr>Alt_proj</vt:lpstr>
      <vt:lpstr>Articl_resist</vt:lpstr>
      <vt:lpstr>Article_desc</vt:lpstr>
      <vt:lpstr>article_list</vt:lpstr>
      <vt:lpstr>Article_nb</vt:lpstr>
      <vt:lpstr>Article_no</vt:lpstr>
      <vt:lpstr>brid_pann</vt:lpstr>
      <vt:lpstr>Calcul_champs_PV</vt:lpstr>
      <vt:lpstr>Cat_Terrain</vt:lpstr>
      <vt:lpstr>Charpente</vt:lpstr>
      <vt:lpstr>choix_brid</vt:lpstr>
      <vt:lpstr>Choix_calep</vt:lpstr>
      <vt:lpstr>choix_cat</vt:lpstr>
      <vt:lpstr>choix_charp</vt:lpstr>
      <vt:lpstr>choix_coul</vt:lpstr>
      <vt:lpstr>choix_couv</vt:lpstr>
      <vt:lpstr>Choix_croch</vt:lpstr>
      <vt:lpstr>Choix_etr</vt:lpstr>
      <vt:lpstr>Choix_forme</vt:lpstr>
      <vt:lpstr>choix_impl</vt:lpstr>
      <vt:lpstr>choix_neige</vt:lpstr>
      <vt:lpstr>choix_panne</vt:lpstr>
      <vt:lpstr>choix_vent</vt:lpstr>
      <vt:lpstr>Couleur</vt:lpstr>
      <vt:lpstr>Couverture</vt:lpstr>
      <vt:lpstr>cpe_bi</vt:lpstr>
      <vt:lpstr>Cpe_mono</vt:lpstr>
      <vt:lpstr>Cr_Z</vt:lpstr>
      <vt:lpstr>croch_comp</vt:lpstr>
      <vt:lpstr>croch_lign</vt:lpstr>
      <vt:lpstr>Crochets</vt:lpstr>
      <vt:lpstr>déb_bri</vt:lpstr>
      <vt:lpstr>deb_croch</vt:lpstr>
      <vt:lpstr>Dim_centre_haut_BP</vt:lpstr>
      <vt:lpstr>Dim_centre_haut_MP</vt:lpstr>
      <vt:lpstr>Dim_centre_long</vt:lpstr>
      <vt:lpstr>dim_egout_long</vt:lpstr>
      <vt:lpstr>dist_fait</vt:lpstr>
      <vt:lpstr>dist_rive</vt:lpstr>
      <vt:lpstr>Dom_emploi</vt:lpstr>
      <vt:lpstr>Entr_chev</vt:lpstr>
      <vt:lpstr>entr_croch_max</vt:lpstr>
      <vt:lpstr>Entr_croch_min</vt:lpstr>
      <vt:lpstr>Entr_panne_max</vt:lpstr>
      <vt:lpstr>entr_plot</vt:lpstr>
      <vt:lpstr>G_droit</vt:lpstr>
      <vt:lpstr>haut_bat</vt:lpstr>
      <vt:lpstr>Haut_Champs_PV</vt:lpstr>
      <vt:lpstr>Implant_PV</vt:lpstr>
      <vt:lpstr>Interail</vt:lpstr>
      <vt:lpstr>interligne</vt:lpstr>
      <vt:lpstr>larg_bri_int</vt:lpstr>
      <vt:lpstr>Larg_Champs_PV</vt:lpstr>
      <vt:lpstr>list_materiel</vt:lpstr>
      <vt:lpstr>Logist</vt:lpstr>
      <vt:lpstr>Long_rail</vt:lpstr>
      <vt:lpstr>long_utile</vt:lpstr>
      <vt:lpstr>Micro</vt:lpstr>
      <vt:lpstr>Micro_fact</vt:lpstr>
      <vt:lpstr>mod_ep</vt:lpstr>
      <vt:lpstr>mod_haut</vt:lpstr>
      <vt:lpstr>mod_larg</vt:lpstr>
      <vt:lpstr>mod_poids</vt:lpstr>
      <vt:lpstr>Mode_pose</vt:lpstr>
      <vt:lpstr>Module_Area</vt:lpstr>
      <vt:lpstr>mult_rail</vt:lpstr>
      <vt:lpstr>mult_rail_crois</vt:lpstr>
      <vt:lpstr>Nb_bride_exter</vt:lpstr>
      <vt:lpstr>Nb_bride_inter</vt:lpstr>
      <vt:lpstr>nb_colonne</vt:lpstr>
      <vt:lpstr>Nb_conn_crois</vt:lpstr>
      <vt:lpstr>Nb_croch</vt:lpstr>
      <vt:lpstr>nb_ligne</vt:lpstr>
      <vt:lpstr>Nb_racc</vt:lpstr>
      <vt:lpstr>Nb_racc_crois</vt:lpstr>
      <vt:lpstr>Nb_rail</vt:lpstr>
      <vt:lpstr>Nb_Rail_crois</vt:lpstr>
      <vt:lpstr>Neige_Charges</vt:lpstr>
      <vt:lpstr>Neige_Zones</vt:lpstr>
      <vt:lpstr>NOK</vt:lpstr>
      <vt:lpstr>OK</vt:lpstr>
      <vt:lpstr>PaF_max</vt:lpstr>
      <vt:lpstr>PaF_utile</vt:lpstr>
      <vt:lpstr>panne_type</vt:lpstr>
      <vt:lpstr>pente</vt:lpstr>
      <vt:lpstr>Porte_a_faux</vt:lpstr>
      <vt:lpstr>Qpz</vt:lpstr>
      <vt:lpstr>Racc_crois</vt:lpstr>
      <vt:lpstr>Racc_lign</vt:lpstr>
      <vt:lpstr>Rail</vt:lpstr>
      <vt:lpstr>RAIL_cont_max</vt:lpstr>
      <vt:lpstr>rail_crois_ligne</vt:lpstr>
      <vt:lpstr>RAIL_fibre</vt:lpstr>
      <vt:lpstr>RAIL_Inertia</vt:lpstr>
      <vt:lpstr>rail_ligne</vt:lpstr>
      <vt:lpstr>RAIL_Sécu</vt:lpstr>
      <vt:lpstr>Rail24Black</vt:lpstr>
      <vt:lpstr>Resist_syst</vt:lpstr>
      <vt:lpstr>select</vt:lpstr>
      <vt:lpstr>sélect</vt:lpstr>
      <vt:lpstr>Sn_droit</vt:lpstr>
      <vt:lpstr>Sn_paral</vt:lpstr>
      <vt:lpstr>Surcharge</vt:lpstr>
      <vt:lpstr>toit_dim_e10</vt:lpstr>
      <vt:lpstr>toit_dim_e4</vt:lpstr>
      <vt:lpstr>Toit_Forme</vt:lpstr>
      <vt:lpstr>toit_larg</vt:lpstr>
      <vt:lpstr>toit_long</vt:lpstr>
      <vt:lpstr>Vent_Vb0</vt:lpstr>
      <vt:lpstr>Vent_Zone</vt:lpstr>
      <vt:lpstr>Verif_Bi</vt:lpstr>
      <vt:lpstr>Verif_Mono</vt:lpstr>
      <vt:lpstr>Zone_exclusion_BP</vt:lpstr>
      <vt:lpstr>Zone_exclusion_MP</vt:lpstr>
      <vt:lpstr>Zone_Toit_Bi</vt:lpstr>
      <vt:lpstr>Zone_toit_exclusion</vt:lpstr>
      <vt:lpstr>Zone_Toit_Mono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Florent PRUDHOMME</dc:creator>
  <cp:lastModifiedBy>Léa SEROUX</cp:lastModifiedBy>
  <dcterms:created xsi:type="dcterms:W3CDTF">2022-08-31T13:46:24Z</dcterms:created>
  <dcterms:modified xsi:type="dcterms:W3CDTF">2023-09-20T15:30:29Z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0x010100BDD4B2C30472094C9BC2777A424DBB57</vt:lpwstr>
  </property>
  <property fmtid="{D5CDD505-2E9C-101B-9397-08002B2CF9AE}" pid="3" name="MediaServiceImageTags">
    <vt:lpwstr/>
  </property>
</Properties>
</file>